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20115" windowHeight="7620" activeTab="0"/>
  </bookViews>
  <sheets>
    <sheet name="31.07.2013" sheetId="1" r:id="rId1"/>
    <sheet name="31.12.2013" sheetId="2" r:id="rId2"/>
    <sheet name="Лист2" sheetId="3" r:id="rId3"/>
    <sheet name="предварит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<sst xmlns="http://schemas.openxmlformats.org/spreadsheetml/2006/main" count="869" uniqueCount="376">
  <si>
    <t>Площадь 25127,8 м2</t>
  </si>
  <si>
    <t>Поступило, руб.</t>
  </si>
  <si>
    <t>Израсходованно, руб.</t>
  </si>
  <si>
    <t>№п</t>
  </si>
  <si>
    <t>Запланированно, руб.</t>
  </si>
  <si>
    <t>Осталось, руб.</t>
  </si>
  <si>
    <t>Доходы:</t>
  </si>
  <si>
    <t>начисления за нежилые помещения, провайдеров и прочее</t>
  </si>
  <si>
    <t>возврат от поставщика</t>
  </si>
  <si>
    <t>Итого:</t>
  </si>
  <si>
    <t>Расходы:</t>
  </si>
  <si>
    <t>4.1</t>
  </si>
  <si>
    <t>фонд оплаты труда, в т.ч. НДФЛ: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</si>
  <si>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</si>
  <si>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</si>
  <si>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</si>
  <si>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</si>
  <si>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</si>
  <si>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</si>
  <si>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</si>
  <si>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</si>
  <si>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</si>
  <si>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</si>
  <si>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</si>
  <si>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4.2</t>
  </si>
  <si>
    <t>премиальный фонд, в т.ч. НДФЛ:</t>
  </si>
  <si>
    <t xml:space="preserve">декабрь </t>
  </si>
  <si>
    <t>4.3</t>
  </si>
  <si>
    <t>договора оказания услуг (физ.лица), в т.ч. НДФЛ</t>
  </si>
  <si>
    <t>4.4</t>
  </si>
  <si>
    <t>декабрь</t>
  </si>
  <si>
    <t>налоги при УСН (доходы-расходы 15 %)</t>
  </si>
  <si>
    <t>1 квартал</t>
  </si>
  <si>
    <t>4.5</t>
  </si>
  <si>
    <t>услуги банка:</t>
  </si>
  <si>
    <t>4.6</t>
  </si>
  <si>
    <t>связь:</t>
  </si>
  <si>
    <t>январь ростелеком</t>
  </si>
  <si>
    <t>февраль ростелеком</t>
  </si>
  <si>
    <t>февраль сотовый</t>
  </si>
  <si>
    <t>март ростелеком</t>
  </si>
  <si>
    <t>март сотовый</t>
  </si>
  <si>
    <t>апрель ростелеком</t>
  </si>
  <si>
    <t>май сотовый</t>
  </si>
  <si>
    <t>май ростелеком</t>
  </si>
  <si>
    <t>июнь ростелеком</t>
  </si>
  <si>
    <t>июнь сотовый</t>
  </si>
  <si>
    <t>июль сотовый</t>
  </si>
  <si>
    <t>август ростелеком</t>
  </si>
  <si>
    <t>август сотовый</t>
  </si>
  <si>
    <t>октябрь сотовый</t>
  </si>
  <si>
    <t>октябрь ростелеком</t>
  </si>
  <si>
    <t>ноябрь сотовый</t>
  </si>
  <si>
    <t>ноябрь ростелеком</t>
  </si>
  <si>
    <t>декабрь ростелеком</t>
  </si>
  <si>
    <t>4.7</t>
  </si>
  <si>
    <t>услуги аварийной службы:</t>
  </si>
  <si>
    <t>4.8</t>
  </si>
  <si>
    <t>хозтовары, инвентарь:</t>
  </si>
  <si>
    <t>4.9</t>
  </si>
  <si>
    <t>канцтовары, обслуживание оргтехники:</t>
  </si>
  <si>
    <t>бумага</t>
  </si>
  <si>
    <t>4.10</t>
  </si>
  <si>
    <t>вывоз КГО</t>
  </si>
  <si>
    <t>4.11</t>
  </si>
  <si>
    <t>дератизация</t>
  </si>
  <si>
    <t>4.12</t>
  </si>
  <si>
    <t>юридические услуги:</t>
  </si>
  <si>
    <t>4.13</t>
  </si>
  <si>
    <t>услуги ИВЦ "Северный"</t>
  </si>
  <si>
    <t>5</t>
  </si>
  <si>
    <t>Ремонтные работы:</t>
  </si>
  <si>
    <t>5.1</t>
  </si>
  <si>
    <t>Инженерных коммуникаций дома:</t>
  </si>
  <si>
    <t>Проверка электронного оборудования ГВС и отопления</t>
  </si>
  <si>
    <t>5.2</t>
  </si>
  <si>
    <t>Электрической сети.</t>
  </si>
  <si>
    <t>Замена предохранителей пакетных переключателей вводно-распределительных щитов и устройств</t>
  </si>
  <si>
    <t>Ревизия электропроводки в подвалах жилого дома, установка плафонов, эл.патронов, выключателей, эл. ламп</t>
  </si>
  <si>
    <t>Ремонт эл.проводки на тех.этажах и в подъездах</t>
  </si>
  <si>
    <t>5.3</t>
  </si>
  <si>
    <t>Благоустройство дома</t>
  </si>
  <si>
    <t>Ремонт половой плитки в подъездах</t>
  </si>
  <si>
    <t>Замена разбитых стекол окон и дверей в подъездах</t>
  </si>
  <si>
    <t>Остекление и закрытие слуховых окон и подвалах</t>
  </si>
  <si>
    <t>Приведение подвалов и тех.этажей в санитарно-техническое состояние</t>
  </si>
  <si>
    <t>5.4</t>
  </si>
  <si>
    <t>Благоустройство дворовой территории.</t>
  </si>
  <si>
    <t>Утилизация энергосберегающих ламп</t>
  </si>
  <si>
    <t>Очистка и покраска бордюров</t>
  </si>
  <si>
    <t>Побелка деревьев</t>
  </si>
  <si>
    <t>5.5</t>
  </si>
  <si>
    <t>6</t>
  </si>
  <si>
    <t>Непредвиденные расходы</t>
  </si>
  <si>
    <t>Итого израсходованно по статьям</t>
  </si>
  <si>
    <t>Остаток п/отчета</t>
  </si>
  <si>
    <t>Главный бухгалтер</t>
  </si>
  <si>
    <t>Входящий остаток на 01.01.2013г., руб.</t>
  </si>
  <si>
    <t>Осталось на 30.06.2013г., руб.</t>
  </si>
  <si>
    <t>начисления за содержание и ремонт жилья</t>
  </si>
  <si>
    <t>Замена теплообменного комплекса системы ГВС</t>
  </si>
  <si>
    <t>Водопроводная сеть. Ревизия, ремонт, замена запорной арматуры для холодного водоснабжения, горячего водоснабжения в подвалах подъездов №3,4,7,8</t>
  </si>
  <si>
    <t>Ревизия, ремонт, частичная замена запорной арматуры трубопроводов отопления, в т.ч. двух задвижек Ф150</t>
  </si>
  <si>
    <t>Частичная замена труб горячего и холодного водоснабжения, отопления, устранение хомутов и свищей на трубопроводах</t>
  </si>
  <si>
    <t>Приобретение аппарата прочистки системы канализации</t>
  </si>
  <si>
    <t>Установка влагозащитных светильников в подвалах и техэтажах</t>
  </si>
  <si>
    <t>Установка общедомовых приборов учета эл.энергии в количестве 3 штук</t>
  </si>
  <si>
    <t>Ремонт межпанельных швов</t>
  </si>
  <si>
    <t>Ремонт мягкой кровли 100 кв.м</t>
  </si>
  <si>
    <t>Приобретение огнетушителей</t>
  </si>
  <si>
    <t>Ямочный ремонт асфальтового покрытия дворового покрытия дворовой территории S= кв.м</t>
  </si>
  <si>
    <t>Изготовление, установка и покраска ограждений у п. № 3</t>
  </si>
  <si>
    <t>Приобретение мусорного контейнера</t>
  </si>
  <si>
    <t>Покраска мусорных контейнеров</t>
  </si>
  <si>
    <t>Завоз песка для посыпки тротуаров в зимнее время года и для приведения подвалов в санитарно-техническое состояние</t>
  </si>
  <si>
    <t>Завоз  чернозема</t>
  </si>
  <si>
    <t>Проведение праздника двора: к Дню защиты детей, 1 сентября, к Новому году</t>
  </si>
  <si>
    <t>январь сотовая</t>
  </si>
  <si>
    <t>услуги почтовой связи</t>
  </si>
  <si>
    <t>Покупка рассады цветов, саженцев деревьев, кустарников, материалы для ухода за зелеными насаждениями</t>
  </si>
  <si>
    <t>услуги ИФНС</t>
  </si>
  <si>
    <t>бумага, папки</t>
  </si>
  <si>
    <t>правление</t>
  </si>
  <si>
    <t>т.ч.отпускные</t>
  </si>
  <si>
    <t>Денежные средства</t>
  </si>
  <si>
    <t>Отчисления во внебюджетные фонды</t>
  </si>
  <si>
    <t>возврат переплаты от ФСС</t>
  </si>
  <si>
    <t>июль ростелеком</t>
  </si>
  <si>
    <t>НДС</t>
  </si>
  <si>
    <t>Компенсация по залитию</t>
  </si>
  <si>
    <t>Страховые взносы (лифты, ответственность)</t>
  </si>
  <si>
    <t>Ковалева Л.И.</t>
  </si>
  <si>
    <t>Отчет по смете доходов и расходов ТСЖ "Московский 94" на 31.07.2013 г.</t>
  </si>
  <si>
    <t>Тариф 8,36 руб./кв.м</t>
  </si>
  <si>
    <t>1 полугодие</t>
  </si>
  <si>
    <t>перчатки, краска</t>
  </si>
  <si>
    <t>бумага,папки</t>
  </si>
  <si>
    <t>бумага,папки, скобы</t>
  </si>
  <si>
    <t>лампы,патроны,держатели</t>
  </si>
  <si>
    <t>краска</t>
  </si>
  <si>
    <t>муфты, трубы,герметик,горелка</t>
  </si>
  <si>
    <t>шнур</t>
  </si>
  <si>
    <t>метла,перчатки,ключи,замок</t>
  </si>
  <si>
    <t>лейки, очки, лопаты, удобрения, шланги, семена</t>
  </si>
  <si>
    <t>перчатки</t>
  </si>
  <si>
    <t>цв.печатьА4,бумага,скотч</t>
  </si>
  <si>
    <t>муфты, сгоны,пломбы</t>
  </si>
  <si>
    <t>задвижки,клапан,вентили</t>
  </si>
  <si>
    <t>листы голосования</t>
  </si>
  <si>
    <t>апрель сотовый</t>
  </si>
  <si>
    <t>Тачка садовая,доставка</t>
  </si>
  <si>
    <t>перчатки,грабли,ключи,швабра</t>
  </si>
  <si>
    <t>скоросшиватели,бумага,заправка картриджей</t>
  </si>
  <si>
    <t>кисти, ключи, замки,швабры, стир.порошок,мыло,инструменты</t>
  </si>
  <si>
    <t>ЭдвансПром, Компания по охране тепла</t>
  </si>
  <si>
    <t>оплата за кв.219 Саркисян</t>
  </si>
  <si>
    <t>т.ч. Больничный</t>
  </si>
  <si>
    <t>т.ч.отпускные,больничный</t>
  </si>
  <si>
    <t>Доводчики</t>
  </si>
  <si>
    <t>Скачков-окраска лифтов,почт.ящик</t>
  </si>
  <si>
    <t>Кравчук(ревизия), Иванова (контролер)</t>
  </si>
  <si>
    <t>Налог УСН за 2012 г.</t>
  </si>
  <si>
    <t>Тамбовцев</t>
  </si>
  <si>
    <t>Статьи затрат</t>
  </si>
  <si>
    <t>хозтовары, инвентарь</t>
  </si>
  <si>
    <t>сотовая связь</t>
  </si>
  <si>
    <t>канцтовары</t>
  </si>
  <si>
    <t>почтовые расходы</t>
  </si>
  <si>
    <t>для покраски лифтов и ящиков</t>
  </si>
  <si>
    <t>скоросшиватели, ручки шариковые</t>
  </si>
  <si>
    <t>баллон пропан.</t>
  </si>
  <si>
    <t>лампы</t>
  </si>
  <si>
    <t>патроны, держатели</t>
  </si>
  <si>
    <t>файлы, скрепки</t>
  </si>
  <si>
    <t>ключи</t>
  </si>
  <si>
    <t>метла</t>
  </si>
  <si>
    <t>горелка</t>
  </si>
  <si>
    <t>эмаль белая</t>
  </si>
  <si>
    <t>губка, эмаль, глорикс</t>
  </si>
  <si>
    <t>клей, папка</t>
  </si>
  <si>
    <t>замок</t>
  </si>
  <si>
    <t>непредвиденные</t>
  </si>
  <si>
    <t>доводчики</t>
  </si>
  <si>
    <t>цветы</t>
  </si>
  <si>
    <t>клапаны</t>
  </si>
  <si>
    <t>пломбы</t>
  </si>
  <si>
    <t>файлы, печатьА4</t>
  </si>
  <si>
    <t>тачка и доставка</t>
  </si>
  <si>
    <t>метлы, грабли,перчатки</t>
  </si>
  <si>
    <t>швабра-окном</t>
  </si>
  <si>
    <t>садов.вар, колер</t>
  </si>
  <si>
    <t>заправка картр,замена барабана</t>
  </si>
  <si>
    <t>бумага, скоросш., папки</t>
  </si>
  <si>
    <t>эмаль</t>
  </si>
  <si>
    <t>замок навес</t>
  </si>
  <si>
    <t>замок навес, ключи</t>
  </si>
  <si>
    <t>кисти</t>
  </si>
  <si>
    <t>почва</t>
  </si>
  <si>
    <t>муфты,труба</t>
  </si>
  <si>
    <t>удобр</t>
  </si>
  <si>
    <t>кисти, лейки, лопаты</t>
  </si>
  <si>
    <t>смс</t>
  </si>
  <si>
    <t>скоросш.</t>
  </si>
  <si>
    <t>доставка задвижек</t>
  </si>
  <si>
    <t>глорикс</t>
  </si>
  <si>
    <t>праздники</t>
  </si>
  <si>
    <t>шланг</t>
  </si>
  <si>
    <t>инструменты</t>
  </si>
  <si>
    <t>лейки</t>
  </si>
  <si>
    <t>бочата, муфты</t>
  </si>
  <si>
    <t>бумага, файлы, док. Пасп</t>
  </si>
  <si>
    <t>трубы, футорки, герметик</t>
  </si>
  <si>
    <t>переходник под ключ</t>
  </si>
  <si>
    <t>полотно по метал</t>
  </si>
  <si>
    <t>ручки,клей</t>
  </si>
  <si>
    <t>цвет.печать,скотч,кнопки,бумага</t>
  </si>
  <si>
    <t>швабра,щетка, блок к шв.,</t>
  </si>
  <si>
    <t>бензин</t>
  </si>
  <si>
    <t>кисти, ключи, замки,швабры, стир.порошок,мыло,глорикс</t>
  </si>
  <si>
    <t>бумага,файлы, док.пасп</t>
  </si>
  <si>
    <t>полотно по мет.,переходник под ключ</t>
  </si>
  <si>
    <t>управленческие расходы</t>
  </si>
  <si>
    <t>память юсб</t>
  </si>
  <si>
    <t>бензин для газон.</t>
  </si>
  <si>
    <t>ключ</t>
  </si>
  <si>
    <t>леска, перчатки, смс</t>
  </si>
  <si>
    <t>папки</t>
  </si>
  <si>
    <t>тетради</t>
  </si>
  <si>
    <t>эмаль, кисть, уайтспирит</t>
  </si>
  <si>
    <t>Ремонт мягкой кровли</t>
  </si>
  <si>
    <t>пропан, стеклоизол, валик, машинкаМПР</t>
  </si>
  <si>
    <t>замок навес.</t>
  </si>
  <si>
    <t>пластилин, ключ разв. (кв.303),клей момент, фум, масса эпоксид.</t>
  </si>
  <si>
    <t>стеклоизол, 8п-д</t>
  </si>
  <si>
    <t>зарядник</t>
  </si>
  <si>
    <t>стеклоизол</t>
  </si>
  <si>
    <t>пакля</t>
  </si>
  <si>
    <t>контрогайки, муфты, сгоны</t>
  </si>
  <si>
    <t>папки, ручки, маркер, брелок</t>
  </si>
  <si>
    <t>кран шаровой (циркуляц.2п-д)</t>
  </si>
  <si>
    <t>жилищ.кодекс</t>
  </si>
  <si>
    <t>заправка картр., замена барабана</t>
  </si>
  <si>
    <t>ножницы, стикеры</t>
  </si>
  <si>
    <t>шнур, светильники, клеммники, коробки распред.</t>
  </si>
  <si>
    <t>смен.б. к швабре</t>
  </si>
  <si>
    <t>цемент</t>
  </si>
  <si>
    <t>цемент (крыльцо 2п-да)</t>
  </si>
  <si>
    <t>штраф ПФР</t>
  </si>
  <si>
    <t>воздухоудалитель</t>
  </si>
  <si>
    <t>лампочки, изолента</t>
  </si>
  <si>
    <t>ножовка, лупа, стеклорез</t>
  </si>
  <si>
    <t>батарейка</t>
  </si>
  <si>
    <t>проволока ВР-2</t>
  </si>
  <si>
    <t>лопаты, скрепер</t>
  </si>
  <si>
    <t>совок, пропер,перчатки,глорикс</t>
  </si>
  <si>
    <t>возврат переплаты от ТФОМС</t>
  </si>
  <si>
    <t>т.ч.пособие по ух.за реб., отпускные</t>
  </si>
  <si>
    <t>сентябрь ростелеком</t>
  </si>
  <si>
    <t>пени ВЭСК</t>
  </si>
  <si>
    <t>сентябрь сотовый</t>
  </si>
  <si>
    <t>декабрь сотовый</t>
  </si>
  <si>
    <t>замок навес., перчатки</t>
  </si>
  <si>
    <t>швабра,ножовка,лупа,батарейка</t>
  </si>
  <si>
    <t>лопаты, скребок, перчатки, смс</t>
  </si>
  <si>
    <t>перфоратор, ключ,леска, перчатки,смс</t>
  </si>
  <si>
    <t>папки, бумага,память USB</t>
  </si>
  <si>
    <t>обновление1С,папки, ручки,маркер, брелок, зарядник,жил.кодекс,заправка картриджей, замена барабана</t>
  </si>
  <si>
    <t>муфты, трубы,герметик,горелка, сгоны, пластилин,клей,ключ разв.(кв.303), контрогайки</t>
  </si>
  <si>
    <t>шнур, светильники, клеммники, коробки распред., лампочки, изолента</t>
  </si>
  <si>
    <t>Изготовление, установка и покраска ограждений у п. № 3,ремонт крыльца 2п-да</t>
  </si>
  <si>
    <t>эмаль, кисти</t>
  </si>
  <si>
    <t>Ремонт мягкой кровли 100 кв.м, т.ч. оплата труда</t>
  </si>
  <si>
    <t>Бэйс Пром Электро (светильники, выключатели, клеммники, розетки)</t>
  </si>
  <si>
    <t>выдано п/о</t>
  </si>
  <si>
    <t>Тамбовцев(сварка кв.4)</t>
  </si>
  <si>
    <t>Тамбовцев(сварка кв.66)</t>
  </si>
  <si>
    <t>Осталось на 31.12.2013г., руб.</t>
  </si>
  <si>
    <t>т.ч.пособие по ух.за реб.</t>
  </si>
  <si>
    <t>установка ОДПУ (эл.эн.)</t>
  </si>
  <si>
    <t>бумага, ручки шариков., обновление 1С</t>
  </si>
  <si>
    <t>муфты, сгоны,пломбы, кран шаровой(циркул.2 подъезда), клапаны(тех.этаж 1,4 под.)</t>
  </si>
  <si>
    <t>согласно расчету РВК</t>
  </si>
  <si>
    <t>клапан</t>
  </si>
  <si>
    <t>ручки</t>
  </si>
  <si>
    <t>Иванова(контролер), Кокин(сварка кв.96), Немцов(крыша)</t>
  </si>
  <si>
    <t>Тариф  руб./кв.м</t>
  </si>
  <si>
    <t>Входящий остаток на 01.01.2014г., руб.</t>
  </si>
  <si>
    <t>На месяц, руб.</t>
  </si>
  <si>
    <t>На год, руб.</t>
  </si>
  <si>
    <t>связь</t>
  </si>
  <si>
    <t>юридические услуги, в т.ч. НДФЛ</t>
  </si>
  <si>
    <t>услуги банка</t>
  </si>
  <si>
    <t>хозтовары, спецодежда, инвентарь</t>
  </si>
  <si>
    <t>дератизация, дезинсекция</t>
  </si>
  <si>
    <t>услуги ИВЦ "Северный", в т.ч. комиссия банка</t>
  </si>
  <si>
    <t>Водопроводная сеть. Ревизия, ремонт, замена запорной арматуры для холодного водоснабжения, горячего водоснабжения в подвалах подъездов</t>
  </si>
  <si>
    <t>Ревизия, ремонт, частичная замена запорной арматуры трубопроводов отопления</t>
  </si>
  <si>
    <t>Остекление и закрытие слуховых окон в подвалах</t>
  </si>
  <si>
    <t>7</t>
  </si>
  <si>
    <t>страхование лифтов, ответственности</t>
  </si>
  <si>
    <t>Завоз песка для посыпки тротуаров в зимнее время года и для приведения подвалов в санитарно-техническое состояние, на детскую площадку</t>
  </si>
  <si>
    <t>8</t>
  </si>
  <si>
    <t>9</t>
  </si>
  <si>
    <t>10</t>
  </si>
  <si>
    <t>11</t>
  </si>
  <si>
    <t>Приобретение предохранителей пакетных переключателей вводно-распределительных щитов и устройств</t>
  </si>
  <si>
    <t>1</t>
  </si>
  <si>
    <t>2</t>
  </si>
  <si>
    <t>3</t>
  </si>
  <si>
    <t>4</t>
  </si>
  <si>
    <t>12</t>
  </si>
  <si>
    <t>13</t>
  </si>
  <si>
    <t>14</t>
  </si>
  <si>
    <t>15</t>
  </si>
  <si>
    <t>17</t>
  </si>
  <si>
    <t>18</t>
  </si>
  <si>
    <t>19</t>
  </si>
  <si>
    <t>19.1</t>
  </si>
  <si>
    <t>19.2</t>
  </si>
  <si>
    <t>19.3</t>
  </si>
  <si>
    <t>20</t>
  </si>
  <si>
    <t>20.2</t>
  </si>
  <si>
    <t>21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</si>
  <si>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</si>
  <si>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</si>
  <si>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</si>
  <si>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</si>
  <si>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</si>
  <si>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</si>
  <si>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</si>
  <si>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</si>
  <si>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</si>
  <si>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22</t>
  </si>
  <si>
    <t>23</t>
  </si>
  <si>
    <t>Председатель правления</t>
  </si>
  <si>
    <t>Т.А. Чурсина</t>
  </si>
  <si>
    <t>транспортные расходы</t>
  </si>
  <si>
    <t>19.4</t>
  </si>
  <si>
    <t>19.5</t>
  </si>
  <si>
    <t>22.1</t>
  </si>
  <si>
    <t>22.2</t>
  </si>
  <si>
    <t>22.3</t>
  </si>
  <si>
    <t>22.4</t>
  </si>
  <si>
    <t>22.5</t>
  </si>
  <si>
    <t>22.6</t>
  </si>
  <si>
    <t>22.7</t>
  </si>
  <si>
    <t>22.8</t>
  </si>
  <si>
    <t>22.9</t>
  </si>
  <si>
    <t>22.10</t>
  </si>
  <si>
    <t>24</t>
  </si>
  <si>
    <t>Ремонт, покраска рам, замена разбитых стекол окон и дверей в подъездах</t>
  </si>
  <si>
    <t>Расширение оконного проема, установка стеклопакета в офисе ТСЖ</t>
  </si>
  <si>
    <t>вывоз КГМ, в т.ч. НДФЛ</t>
  </si>
  <si>
    <t>Площадь 25127,2 м2</t>
  </si>
  <si>
    <t>Тариф 10,00 руб./кв.м</t>
  </si>
  <si>
    <t>20.1</t>
  </si>
  <si>
    <t xml:space="preserve"> Смета доходов и расходов ТСЖ "Московский 94" на 2016 год</t>
  </si>
  <si>
    <t>диагностика системы вентиляции</t>
  </si>
  <si>
    <t>Входящий остаток на 01.01.2016г., руб.</t>
  </si>
  <si>
    <t>Ремонт половой плитки в подъездах № 2</t>
  </si>
  <si>
    <t>Проект</t>
  </si>
  <si>
    <t>Ремонт межпанельных швов 400п.м</t>
  </si>
  <si>
    <t>Частичная замена труб канализации  в подвалах подъездов</t>
  </si>
  <si>
    <t>Приобретение бензопилы</t>
  </si>
  <si>
    <t>Ремонт отмостки дома и приямков</t>
  </si>
  <si>
    <t>Замена манометров, термометров в системе отопления</t>
  </si>
  <si>
    <t xml:space="preserve">Установка, ремонт и покраска ограждений </t>
  </si>
  <si>
    <t>25</t>
  </si>
  <si>
    <t>Расчет с поставщиками коммунальных ресурсов.</t>
  </si>
  <si>
    <t>канцтовары, обслуживание оргтехники, программное обеспечение</t>
  </si>
  <si>
    <t>Ремонт мягкой кровли подъезд № 8</t>
  </si>
  <si>
    <t>20.3</t>
  </si>
  <si>
    <t>Текущий ремонт электропроводки в подвалах, на техэтажах и в подъездах жилого дома, устранение неисправностей, установка плафонов, эл.патронов, выключателей, эл.ламп</t>
  </si>
  <si>
    <t>Установка светодиодных светильников на лестничных площадках</t>
  </si>
  <si>
    <t>Демонтаж старой кровли подъезд №4                   S= 500кв.м, частичный ремонт бетонного перекрытия, грунтовка, покрытие 2-мя слоями кровли, вывоз старой кровли</t>
  </si>
  <si>
    <t>Ямочный ремонт асфальтового покрытия дворовой территории S= 60 кв.м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</si>
</sst>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u val="single"/>
      <sz val="12"/>
      <name val="Arial Cyr"/>
      <family val="2"/>
    </font>
    <font>
      <b/>
      <u val="single"/>
      <sz val="10"/>
      <name val="Arial Cyr"/>
      <family val="2"/>
    </font>
    <font>
      <sz val="14"/>
      <name val="Arial Cyr"/>
      <family val="2"/>
    </font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i/>
      <u val="single"/>
      <sz val="14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/>
      <top style="thin"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2">
    <xf numFmtId="0" fontId="0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1" xfId="0" applyFill="1" applyBorder="1" applyAlignment="1">
      <alignment horizontal="right"/>
    </xf>
    <xf numFmtId="0" fontId="4" fillId="33" borderId="11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2" fontId="0" fillId="0" borderId="0" xfId="0" applyNumberFormat="1" applyAlignment="1">
      <alignment/>
    </xf>
    <xf numFmtId="0" fontId="5" fillId="33" borderId="11" xfId="0" applyFont="1" applyFill="1" applyBorder="1" applyAlignment="1">
      <alignment horizontal="center"/>
    </xf>
    <xf numFmtId="2" fontId="0" fillId="34" borderId="11" xfId="0" applyNumberFormat="1" applyFill="1" applyBorder="1" applyAlignment="1">
      <alignment/>
    </xf>
    <xf numFmtId="2" fontId="0" fillId="34" borderId="12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0" fontId="0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horizontal="right"/>
    </xf>
    <xf numFmtId="0" fontId="0" fillId="0" borderId="0" xfId="0" applyNumberFormat="1" applyAlignment="1">
      <alignment/>
    </xf>
    <xf numFmtId="49" fontId="0" fillId="35" borderId="11" xfId="0" applyNumberFormat="1" applyFont="1" applyFill="1" applyBorder="1" applyAlignment="1">
      <alignment horizontal="right"/>
    </xf>
    <xf numFmtId="0" fontId="3" fillId="36" borderId="11" xfId="0" applyFont="1" applyFill="1" applyBorder="1" applyAlignment="1">
      <alignment/>
    </xf>
    <xf numFmtId="2" fontId="3" fillId="37" borderId="11" xfId="0" applyNumberFormat="1" applyFont="1" applyFill="1" applyBorder="1" applyAlignment="1">
      <alignment/>
    </xf>
    <xf numFmtId="49" fontId="0" fillId="33" borderId="11" xfId="0" applyNumberForma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3" fillId="36" borderId="11" xfId="0" applyFont="1" applyFill="1" applyBorder="1" applyAlignment="1">
      <alignment wrapText="1"/>
    </xf>
    <xf numFmtId="2" fontId="0" fillId="33" borderId="11" xfId="0" applyNumberFormat="1" applyFont="1" applyFill="1" applyBorder="1" applyAlignment="1">
      <alignment/>
    </xf>
    <xf numFmtId="2" fontId="0" fillId="37" borderId="11" xfId="0" applyNumberFormat="1" applyFill="1" applyBorder="1" applyAlignment="1">
      <alignment/>
    </xf>
    <xf numFmtId="49" fontId="0" fillId="36" borderId="11" xfId="0" applyNumberFormat="1" applyFont="1" applyFill="1" applyBorder="1" applyAlignment="1">
      <alignment horizontal="right"/>
    </xf>
    <xf numFmtId="2" fontId="0" fillId="34" borderId="11" xfId="0" applyNumberFormat="1" applyFill="1" applyBorder="1" applyAlignment="1">
      <alignment wrapText="1"/>
    </xf>
    <xf numFmtId="2" fontId="0" fillId="33" borderId="11" xfId="0" applyNumberFormat="1" applyFill="1" applyBorder="1" applyAlignment="1">
      <alignment wrapText="1"/>
    </xf>
    <xf numFmtId="2" fontId="0" fillId="0" borderId="11" xfId="0" applyNumberFormat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4" fontId="3" fillId="33" borderId="11" xfId="0" applyNumberFormat="1" applyFont="1" applyFill="1" applyBorder="1" applyAlignment="1">
      <alignment/>
    </xf>
    <xf numFmtId="4" fontId="3" fillId="33" borderId="12" xfId="0" applyNumberFormat="1" applyFont="1" applyFill="1" applyBorder="1" applyAlignment="1">
      <alignment/>
    </xf>
    <xf numFmtId="4" fontId="3" fillId="34" borderId="11" xfId="0" applyNumberFormat="1" applyFont="1" applyFill="1" applyBorder="1" applyAlignment="1">
      <alignment/>
    </xf>
    <xf numFmtId="4" fontId="0" fillId="34" borderId="11" xfId="0" applyNumberFormat="1" applyFill="1" applyBorder="1" applyAlignment="1">
      <alignment/>
    </xf>
    <xf numFmtId="4" fontId="0" fillId="34" borderId="12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58" fillId="34" borderId="11" xfId="0" applyNumberFormat="1" applyFont="1" applyFill="1" applyBorder="1" applyAlignment="1">
      <alignment/>
    </xf>
    <xf numFmtId="4" fontId="3" fillId="37" borderId="11" xfId="0" applyNumberFormat="1" applyFont="1" applyFill="1" applyBorder="1" applyAlignment="1">
      <alignment/>
    </xf>
    <xf numFmtId="4" fontId="3" fillId="37" borderId="12" xfId="0" applyNumberFormat="1" applyFont="1" applyFill="1" applyBorder="1" applyAlignment="1">
      <alignment/>
    </xf>
    <xf numFmtId="4" fontId="0" fillId="37" borderId="12" xfId="0" applyNumberFormat="1" applyFill="1" applyBorder="1" applyAlignment="1">
      <alignment/>
    </xf>
    <xf numFmtId="4" fontId="0" fillId="37" borderId="12" xfId="0" applyNumberFormat="1" applyFont="1" applyFill="1" applyBorder="1" applyAlignment="1">
      <alignment/>
    </xf>
    <xf numFmtId="4" fontId="0" fillId="34" borderId="12" xfId="0" applyNumberFormat="1" applyFont="1" applyFill="1" applyBorder="1" applyAlignment="1">
      <alignment/>
    </xf>
    <xf numFmtId="4" fontId="0" fillId="34" borderId="0" xfId="0" applyNumberFormat="1" applyFill="1" applyAlignment="1">
      <alignment/>
    </xf>
    <xf numFmtId="4" fontId="0" fillId="37" borderId="11" xfId="0" applyNumberFormat="1" applyFill="1" applyBorder="1" applyAlignment="1">
      <alignment/>
    </xf>
    <xf numFmtId="0" fontId="0" fillId="33" borderId="11" xfId="0" applyFill="1" applyBorder="1" applyAlignment="1">
      <alignment wrapText="1"/>
    </xf>
    <xf numFmtId="4" fontId="0" fillId="33" borderId="11" xfId="0" applyNumberFormat="1" applyFill="1" applyBorder="1" applyAlignment="1">
      <alignment wrapText="1"/>
    </xf>
    <xf numFmtId="4" fontId="0" fillId="34" borderId="11" xfId="0" applyNumberFormat="1" applyFont="1" applyFill="1" applyBorder="1" applyAlignment="1">
      <alignment wrapText="1"/>
    </xf>
    <xf numFmtId="4" fontId="0" fillId="34" borderId="11" xfId="0" applyNumberFormat="1" applyFill="1" applyBorder="1" applyAlignment="1">
      <alignment/>
    </xf>
    <xf numFmtId="4" fontId="0" fillId="34" borderId="11" xfId="0" applyNumberFormat="1" applyFont="1" applyFill="1" applyBorder="1" applyAlignment="1">
      <alignment/>
    </xf>
    <xf numFmtId="4" fontId="3" fillId="37" borderId="11" xfId="0" applyNumberFormat="1" applyFont="1" applyFill="1" applyBorder="1" applyAlignment="1">
      <alignment/>
    </xf>
    <xf numFmtId="4" fontId="0" fillId="37" borderId="11" xfId="0" applyNumberFormat="1" applyFill="1" applyBorder="1" applyAlignment="1">
      <alignment/>
    </xf>
    <xf numFmtId="4" fontId="0" fillId="37" borderId="11" xfId="0" applyNumberFormat="1" applyFont="1" applyFill="1" applyBorder="1" applyAlignment="1">
      <alignment/>
    </xf>
    <xf numFmtId="4" fontId="3" fillId="33" borderId="11" xfId="0" applyNumberFormat="1" applyFont="1" applyFill="1" applyBorder="1" applyAlignment="1">
      <alignment/>
    </xf>
    <xf numFmtId="4" fontId="0" fillId="33" borderId="11" xfId="0" applyNumberFormat="1" applyFill="1" applyBorder="1" applyAlignment="1">
      <alignment/>
    </xf>
    <xf numFmtId="4" fontId="7" fillId="33" borderId="11" xfId="0" applyNumberFormat="1" applyFont="1" applyFill="1" applyBorder="1" applyAlignment="1">
      <alignment/>
    </xf>
    <xf numFmtId="0" fontId="49" fillId="33" borderId="11" xfId="0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3" fillId="36" borderId="11" xfId="0" applyNumberFormat="1" applyFont="1" applyFill="1" applyBorder="1" applyAlignment="1">
      <alignment wrapText="1"/>
    </xf>
    <xf numFmtId="4" fontId="5" fillId="33" borderId="11" xfId="0" applyNumberFormat="1" applyFont="1" applyFill="1" applyBorder="1" applyAlignment="1">
      <alignment horizontal="center"/>
    </xf>
    <xf numFmtId="4" fontId="0" fillId="33" borderId="11" xfId="0" applyNumberFormat="1" applyFont="1" applyFill="1" applyBorder="1" applyAlignment="1">
      <alignment wrapText="1"/>
    </xf>
    <xf numFmtId="4" fontId="0" fillId="34" borderId="13" xfId="0" applyNumberFormat="1" applyFill="1" applyBorder="1" applyAlignment="1">
      <alignment/>
    </xf>
    <xf numFmtId="4" fontId="0" fillId="0" borderId="0" xfId="0" applyNumberFormat="1" applyAlignment="1">
      <alignment/>
    </xf>
    <xf numFmtId="0" fontId="0" fillId="38" borderId="11" xfId="0" applyFill="1" applyBorder="1" applyAlignment="1">
      <alignment/>
    </xf>
    <xf numFmtId="0" fontId="3" fillId="38" borderId="11" xfId="0" applyFont="1" applyFill="1" applyBorder="1" applyAlignment="1">
      <alignment/>
    </xf>
    <xf numFmtId="2" fontId="3" fillId="38" borderId="11" xfId="0" applyNumberFormat="1" applyFont="1" applyFill="1" applyBorder="1" applyAlignment="1">
      <alignment/>
    </xf>
    <xf numFmtId="2" fontId="3" fillId="38" borderId="12" xfId="0" applyNumberFormat="1" applyFont="1" applyFill="1" applyBorder="1" applyAlignment="1">
      <alignment/>
    </xf>
    <xf numFmtId="4" fontId="49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4" fontId="8" fillId="34" borderId="12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4" fontId="42" fillId="0" borderId="0" xfId="0" applyNumberFormat="1" applyFont="1" applyBorder="1" applyAlignment="1">
      <alignment/>
    </xf>
    <xf numFmtId="0" fontId="0" fillId="38" borderId="11" xfId="0" applyFill="1" applyBorder="1" applyAlignment="1">
      <alignment horizontal="right"/>
    </xf>
    <xf numFmtId="0" fontId="0" fillId="0" borderId="14" xfId="0" applyBorder="1" applyAlignment="1">
      <alignment/>
    </xf>
    <xf numFmtId="0" fontId="0" fillId="39" borderId="14" xfId="0" applyFill="1" applyBorder="1" applyAlignment="1">
      <alignment/>
    </xf>
    <xf numFmtId="0" fontId="0" fillId="33" borderId="14" xfId="0" applyFill="1" applyBorder="1" applyAlignment="1">
      <alignment wrapText="1"/>
    </xf>
    <xf numFmtId="0" fontId="0" fillId="33" borderId="14" xfId="0" applyFont="1" applyFill="1" applyBorder="1" applyAlignment="1">
      <alignment wrapText="1"/>
    </xf>
    <xf numFmtId="0" fontId="0" fillId="40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4" borderId="14" xfId="0" applyFill="1" applyBorder="1" applyAlignment="1">
      <alignment/>
    </xf>
    <xf numFmtId="0" fontId="49" fillId="0" borderId="14" xfId="0" applyFont="1" applyBorder="1" applyAlignment="1">
      <alignment/>
    </xf>
    <xf numFmtId="0" fontId="49" fillId="4" borderId="14" xfId="0" applyFont="1" applyFill="1" applyBorder="1" applyAlignment="1">
      <alignment/>
    </xf>
    <xf numFmtId="0" fontId="0" fillId="41" borderId="14" xfId="0" applyFill="1" applyBorder="1" applyAlignment="1">
      <alignment/>
    </xf>
    <xf numFmtId="0" fontId="0" fillId="16" borderId="14" xfId="0" applyFill="1" applyBorder="1" applyAlignment="1">
      <alignment/>
    </xf>
    <xf numFmtId="0" fontId="0" fillId="42" borderId="14" xfId="0" applyFill="1" applyBorder="1" applyAlignment="1">
      <alignment/>
    </xf>
    <xf numFmtId="0" fontId="0" fillId="13" borderId="14" xfId="0" applyFill="1" applyBorder="1" applyAlignment="1">
      <alignment/>
    </xf>
    <xf numFmtId="0" fontId="49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5" xfId="0" applyFont="1" applyFill="1" applyBorder="1" applyAlignment="1">
      <alignment wrapText="1"/>
    </xf>
    <xf numFmtId="0" fontId="0" fillId="33" borderId="12" xfId="0" applyFont="1" applyFill="1" applyBorder="1" applyAlignment="1">
      <alignment wrapText="1"/>
    </xf>
    <xf numFmtId="0" fontId="0" fillId="43" borderId="14" xfId="0" applyFill="1" applyBorder="1" applyAlignment="1">
      <alignment/>
    </xf>
    <xf numFmtId="0" fontId="0" fillId="44" borderId="14" xfId="0" applyFill="1" applyBorder="1" applyAlignment="1">
      <alignment/>
    </xf>
    <xf numFmtId="0" fontId="0" fillId="0" borderId="16" xfId="0" applyFill="1" applyBorder="1" applyAlignment="1">
      <alignment/>
    </xf>
    <xf numFmtId="4" fontId="0" fillId="34" borderId="17" xfId="0" applyNumberFormat="1" applyFill="1" applyBorder="1" applyAlignment="1">
      <alignment/>
    </xf>
    <xf numFmtId="4" fontId="0" fillId="37" borderId="18" xfId="0" applyNumberFormat="1" applyFill="1" applyBorder="1" applyAlignment="1">
      <alignment/>
    </xf>
    <xf numFmtId="4" fontId="0" fillId="37" borderId="13" xfId="0" applyNumberFormat="1" applyFill="1" applyBorder="1" applyAlignment="1">
      <alignment/>
    </xf>
    <xf numFmtId="0" fontId="59" fillId="33" borderId="11" xfId="0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0" fontId="59" fillId="38" borderId="11" xfId="0" applyFont="1" applyFill="1" applyBorder="1" applyAlignment="1">
      <alignment/>
    </xf>
    <xf numFmtId="0" fontId="9" fillId="38" borderId="11" xfId="0" applyFont="1" applyFill="1" applyBorder="1" applyAlignment="1">
      <alignment/>
    </xf>
    <xf numFmtId="2" fontId="9" fillId="38" borderId="11" xfId="0" applyNumberFormat="1" applyFont="1" applyFill="1" applyBorder="1" applyAlignment="1">
      <alignment/>
    </xf>
    <xf numFmtId="2" fontId="9" fillId="38" borderId="12" xfId="0" applyNumberFormat="1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4" fontId="10" fillId="34" borderId="11" xfId="0" applyNumberFormat="1" applyFont="1" applyFill="1" applyBorder="1" applyAlignment="1">
      <alignment/>
    </xf>
    <xf numFmtId="0" fontId="59" fillId="33" borderId="11" xfId="0" applyFont="1" applyFill="1" applyBorder="1" applyAlignment="1">
      <alignment wrapText="1"/>
    </xf>
    <xf numFmtId="4" fontId="10" fillId="34" borderId="12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right"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2" fontId="59" fillId="34" borderId="11" xfId="0" applyNumberFormat="1" applyFont="1" applyFill="1" applyBorder="1" applyAlignment="1">
      <alignment/>
    </xf>
    <xf numFmtId="2" fontId="59" fillId="34" borderId="12" xfId="0" applyNumberFormat="1" applyFont="1" applyFill="1" applyBorder="1" applyAlignment="1">
      <alignment/>
    </xf>
    <xf numFmtId="2" fontId="59" fillId="33" borderId="11" xfId="0" applyNumberFormat="1" applyFont="1" applyFill="1" applyBorder="1" applyAlignment="1">
      <alignment/>
    </xf>
    <xf numFmtId="0" fontId="9" fillId="36" borderId="11" xfId="0" applyFont="1" applyFill="1" applyBorder="1" applyAlignment="1">
      <alignment/>
    </xf>
    <xf numFmtId="4" fontId="9" fillId="36" borderId="11" xfId="0" applyNumberFormat="1" applyFont="1" applyFill="1" applyBorder="1" applyAlignment="1">
      <alignment/>
    </xf>
    <xf numFmtId="4" fontId="9" fillId="37" borderId="11" xfId="0" applyNumberFormat="1" applyFont="1" applyFill="1" applyBorder="1" applyAlignment="1">
      <alignment/>
    </xf>
    <xf numFmtId="4" fontId="9" fillId="37" borderId="12" xfId="0" applyNumberFormat="1" applyFont="1" applyFill="1" applyBorder="1" applyAlignment="1">
      <alignment/>
    </xf>
    <xf numFmtId="4" fontId="59" fillId="33" borderId="11" xfId="0" applyNumberFormat="1" applyFont="1" applyFill="1" applyBorder="1" applyAlignment="1">
      <alignment/>
    </xf>
    <xf numFmtId="4" fontId="9" fillId="34" borderId="11" xfId="0" applyNumberFormat="1" applyFont="1" applyFill="1" applyBorder="1" applyAlignment="1">
      <alignment/>
    </xf>
    <xf numFmtId="4" fontId="59" fillId="37" borderId="12" xfId="0" applyNumberFormat="1" applyFont="1" applyFill="1" applyBorder="1" applyAlignment="1">
      <alignment/>
    </xf>
    <xf numFmtId="4" fontId="59" fillId="34" borderId="11" xfId="0" applyNumberFormat="1" applyFont="1" applyFill="1" applyBorder="1" applyAlignment="1">
      <alignment/>
    </xf>
    <xf numFmtId="4" fontId="59" fillId="34" borderId="12" xfId="0" applyNumberFormat="1" applyFont="1" applyFill="1" applyBorder="1" applyAlignment="1">
      <alignment/>
    </xf>
    <xf numFmtId="0" fontId="9" fillId="36" borderId="11" xfId="0" applyFont="1" applyFill="1" applyBorder="1" applyAlignment="1">
      <alignment wrapText="1"/>
    </xf>
    <xf numFmtId="4" fontId="9" fillId="36" borderId="11" xfId="0" applyNumberFormat="1" applyFont="1" applyFill="1" applyBorder="1" applyAlignment="1">
      <alignment wrapText="1"/>
    </xf>
    <xf numFmtId="2" fontId="59" fillId="33" borderId="11" xfId="0" applyNumberFormat="1" applyFont="1" applyFill="1" applyBorder="1" applyAlignment="1">
      <alignment wrapText="1"/>
    </xf>
    <xf numFmtId="4" fontId="59" fillId="34" borderId="0" xfId="0" applyNumberFormat="1" applyFont="1" applyFill="1" applyAlignment="1">
      <alignment/>
    </xf>
    <xf numFmtId="4" fontId="59" fillId="37" borderId="11" xfId="0" applyNumberFormat="1" applyFont="1" applyFill="1" applyBorder="1" applyAlignment="1">
      <alignment/>
    </xf>
    <xf numFmtId="4" fontId="59" fillId="34" borderId="13" xfId="0" applyNumberFormat="1" applyFont="1" applyFill="1" applyBorder="1" applyAlignment="1">
      <alignment/>
    </xf>
    <xf numFmtId="4" fontId="59" fillId="37" borderId="13" xfId="0" applyNumberFormat="1" applyFont="1" applyFill="1" applyBorder="1" applyAlignment="1">
      <alignment/>
    </xf>
    <xf numFmtId="4" fontId="59" fillId="37" borderId="18" xfId="0" applyNumberFormat="1" applyFont="1" applyFill="1" applyBorder="1" applyAlignment="1">
      <alignment/>
    </xf>
    <xf numFmtId="4" fontId="59" fillId="34" borderId="17" xfId="0" applyNumberFormat="1" applyFont="1" applyFill="1" applyBorder="1" applyAlignment="1">
      <alignment/>
    </xf>
    <xf numFmtId="0" fontId="58" fillId="33" borderId="11" xfId="0" applyFont="1" applyFill="1" applyBorder="1" applyAlignment="1">
      <alignment/>
    </xf>
    <xf numFmtId="2" fontId="59" fillId="34" borderId="11" xfId="0" applyNumberFormat="1" applyFont="1" applyFill="1" applyBorder="1" applyAlignment="1">
      <alignment wrapText="1"/>
    </xf>
    <xf numFmtId="2" fontId="9" fillId="37" borderId="11" xfId="0" applyNumberFormat="1" applyFont="1" applyFill="1" applyBorder="1" applyAlignment="1">
      <alignment/>
    </xf>
    <xf numFmtId="2" fontId="9" fillId="36" borderId="11" xfId="0" applyNumberFormat="1" applyFont="1" applyFill="1" applyBorder="1" applyAlignment="1">
      <alignment wrapText="1"/>
    </xf>
    <xf numFmtId="2" fontId="59" fillId="37" borderId="11" xfId="0" applyNumberFormat="1" applyFont="1" applyFill="1" applyBorder="1" applyAlignment="1">
      <alignment/>
    </xf>
    <xf numFmtId="4" fontId="59" fillId="33" borderId="11" xfId="0" applyNumberFormat="1" applyFont="1" applyFill="1" applyBorder="1" applyAlignment="1">
      <alignment wrapText="1"/>
    </xf>
    <xf numFmtId="4" fontId="59" fillId="34" borderId="11" xfId="0" applyNumberFormat="1" applyFont="1" applyFill="1" applyBorder="1" applyAlignment="1">
      <alignment wrapText="1"/>
    </xf>
    <xf numFmtId="4" fontId="59" fillId="34" borderId="11" xfId="0" applyNumberFormat="1" applyFont="1" applyFill="1" applyBorder="1" applyAlignment="1">
      <alignment/>
    </xf>
    <xf numFmtId="4" fontId="9" fillId="37" borderId="11" xfId="0" applyNumberFormat="1" applyFont="1" applyFill="1" applyBorder="1" applyAlignment="1">
      <alignment/>
    </xf>
    <xf numFmtId="4" fontId="59" fillId="37" borderId="11" xfId="0" applyNumberFormat="1" applyFont="1" applyFill="1" applyBorder="1" applyAlignment="1">
      <alignment/>
    </xf>
    <xf numFmtId="4" fontId="9" fillId="33" borderId="11" xfId="0" applyNumberFormat="1" applyFont="1" applyFill="1" applyBorder="1" applyAlignment="1">
      <alignment/>
    </xf>
    <xf numFmtId="4" fontId="59" fillId="33" borderId="11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Alignment="1">
      <alignment/>
    </xf>
    <xf numFmtId="0" fontId="11" fillId="33" borderId="17" xfId="0" applyFont="1" applyFill="1" applyBorder="1" applyAlignment="1">
      <alignment horizontal="center"/>
    </xf>
    <xf numFmtId="0" fontId="60" fillId="33" borderId="17" xfId="0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/>
    </xf>
    <xf numFmtId="0" fontId="61" fillId="33" borderId="11" xfId="0" applyFont="1" applyFill="1" applyBorder="1" applyAlignment="1">
      <alignment horizontal="center"/>
    </xf>
    <xf numFmtId="4" fontId="12" fillId="33" borderId="12" xfId="0" applyNumberFormat="1" applyFont="1" applyFill="1" applyBorder="1" applyAlignment="1">
      <alignment/>
    </xf>
    <xf numFmtId="0" fontId="61" fillId="38" borderId="11" xfId="0" applyFont="1" applyFill="1" applyBorder="1" applyAlignment="1">
      <alignment horizontal="center"/>
    </xf>
    <xf numFmtId="0" fontId="61" fillId="0" borderId="21" xfId="0" applyFont="1" applyBorder="1" applyAlignment="1">
      <alignment horizontal="center"/>
    </xf>
    <xf numFmtId="2" fontId="60" fillId="0" borderId="0" xfId="0" applyNumberFormat="1" applyFont="1" applyAlignment="1">
      <alignment/>
    </xf>
    <xf numFmtId="4" fontId="62" fillId="34" borderId="12" xfId="0" applyNumberFormat="1" applyFont="1" applyFill="1" applyBorder="1" applyAlignment="1">
      <alignment/>
    </xf>
    <xf numFmtId="4" fontId="62" fillId="34" borderId="14" xfId="0" applyNumberFormat="1" applyFont="1" applyFill="1" applyBorder="1" applyAlignment="1">
      <alignment/>
    </xf>
    <xf numFmtId="0" fontId="61" fillId="0" borderId="0" xfId="0" applyFont="1" applyAlignment="1">
      <alignment/>
    </xf>
    <xf numFmtId="0" fontId="13" fillId="33" borderId="11" xfId="0" applyFont="1" applyFill="1" applyBorder="1" applyAlignment="1">
      <alignment horizontal="right"/>
    </xf>
    <xf numFmtId="0" fontId="60" fillId="0" borderId="0" xfId="0" applyNumberFormat="1" applyFont="1" applyAlignment="1">
      <alignment/>
    </xf>
    <xf numFmtId="49" fontId="61" fillId="35" borderId="11" xfId="0" applyNumberFormat="1" applyFont="1" applyFill="1" applyBorder="1" applyAlignment="1">
      <alignment horizontal="center"/>
    </xf>
    <xf numFmtId="49" fontId="61" fillId="39" borderId="11" xfId="0" applyNumberFormat="1" applyFont="1" applyFill="1" applyBorder="1" applyAlignment="1">
      <alignment horizontal="center"/>
    </xf>
    <xf numFmtId="49" fontId="61" fillId="36" borderId="11" xfId="0" applyNumberFormat="1" applyFont="1" applyFill="1" applyBorder="1" applyAlignment="1">
      <alignment horizontal="center"/>
    </xf>
    <xf numFmtId="49" fontId="60" fillId="33" borderId="11" xfId="0" applyNumberFormat="1" applyFont="1" applyFill="1" applyBorder="1" applyAlignment="1">
      <alignment horizontal="center"/>
    </xf>
    <xf numFmtId="2" fontId="60" fillId="0" borderId="0" xfId="0" applyNumberFormat="1" applyFont="1" applyBorder="1" applyAlignment="1">
      <alignment/>
    </xf>
    <xf numFmtId="0" fontId="61" fillId="0" borderId="0" xfId="0" applyFont="1" applyAlignment="1">
      <alignment horizontal="center"/>
    </xf>
    <xf numFmtId="4" fontId="60" fillId="0" borderId="0" xfId="0" applyNumberFormat="1" applyFont="1" applyAlignment="1">
      <alignment/>
    </xf>
    <xf numFmtId="0" fontId="12" fillId="33" borderId="17" xfId="0" applyFont="1" applyFill="1" applyBorder="1" applyAlignment="1">
      <alignment horizontal="left" wrapText="1"/>
    </xf>
    <xf numFmtId="4" fontId="12" fillId="33" borderId="14" xfId="0" applyNumberFormat="1" applyFont="1" applyFill="1" applyBorder="1" applyAlignment="1">
      <alignment/>
    </xf>
    <xf numFmtId="0" fontId="63" fillId="38" borderId="11" xfId="0" applyFont="1" applyFill="1" applyBorder="1" applyAlignment="1">
      <alignment/>
    </xf>
    <xf numFmtId="2" fontId="12" fillId="38" borderId="12" xfId="0" applyNumberFormat="1" applyFont="1" applyFill="1" applyBorder="1" applyAlignment="1">
      <alignment/>
    </xf>
    <xf numFmtId="2" fontId="12" fillId="38" borderId="14" xfId="0" applyNumberFormat="1" applyFont="1" applyFill="1" applyBorder="1" applyAlignment="1">
      <alignment/>
    </xf>
    <xf numFmtId="0" fontId="12" fillId="33" borderId="11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12" fillId="33" borderId="14" xfId="0" applyFont="1" applyFill="1" applyBorder="1" applyAlignment="1">
      <alignment/>
    </xf>
    <xf numFmtId="0" fontId="63" fillId="33" borderId="11" xfId="0" applyFont="1" applyFill="1" applyBorder="1" applyAlignment="1">
      <alignment wrapText="1"/>
    </xf>
    <xf numFmtId="2" fontId="63" fillId="34" borderId="12" xfId="0" applyNumberFormat="1" applyFont="1" applyFill="1" applyBorder="1" applyAlignment="1">
      <alignment/>
    </xf>
    <xf numFmtId="2" fontId="63" fillId="34" borderId="14" xfId="0" applyNumberFormat="1" applyFont="1" applyFill="1" applyBorder="1" applyAlignment="1">
      <alignment/>
    </xf>
    <xf numFmtId="0" fontId="12" fillId="36" borderId="11" xfId="0" applyFont="1" applyFill="1" applyBorder="1" applyAlignment="1">
      <alignment/>
    </xf>
    <xf numFmtId="4" fontId="12" fillId="37" borderId="12" xfId="0" applyNumberFormat="1" applyFont="1" applyFill="1" applyBorder="1" applyAlignment="1">
      <alignment/>
    </xf>
    <xf numFmtId="4" fontId="12" fillId="37" borderId="14" xfId="0" applyNumberFormat="1" applyFont="1" applyFill="1" applyBorder="1" applyAlignment="1">
      <alignment/>
    </xf>
    <xf numFmtId="0" fontId="12" fillId="36" borderId="11" xfId="0" applyFont="1" applyFill="1" applyBorder="1" applyAlignment="1">
      <alignment wrapText="1"/>
    </xf>
    <xf numFmtId="2" fontId="12" fillId="37" borderId="14" xfId="0" applyNumberFormat="1" applyFont="1" applyFill="1" applyBorder="1" applyAlignment="1">
      <alignment/>
    </xf>
    <xf numFmtId="2" fontId="62" fillId="37" borderId="14" xfId="0" applyNumberFormat="1" applyFont="1" applyFill="1" applyBorder="1" applyAlignment="1">
      <alignment/>
    </xf>
    <xf numFmtId="0" fontId="15" fillId="45" borderId="22" xfId="0" applyFont="1" applyFill="1" applyBorder="1" applyAlignment="1">
      <alignment horizontal="right"/>
    </xf>
    <xf numFmtId="4" fontId="15" fillId="45" borderId="12" xfId="0" applyNumberFormat="1" applyFont="1" applyFill="1" applyBorder="1" applyAlignment="1">
      <alignment/>
    </xf>
    <xf numFmtId="4" fontId="15" fillId="45" borderId="23" xfId="0" applyNumberFormat="1" applyFont="1" applyFill="1" applyBorder="1" applyAlignment="1">
      <alignment/>
    </xf>
    <xf numFmtId="2" fontId="64" fillId="39" borderId="12" xfId="0" applyNumberFormat="1" applyFont="1" applyFill="1" applyBorder="1" applyAlignment="1">
      <alignment/>
    </xf>
    <xf numFmtId="4" fontId="63" fillId="34" borderId="12" xfId="0" applyNumberFormat="1" applyFont="1" applyFill="1" applyBorder="1" applyAlignment="1">
      <alignment/>
    </xf>
    <xf numFmtId="4" fontId="63" fillId="34" borderId="14" xfId="0" applyNumberFormat="1" applyFont="1" applyFill="1" applyBorder="1" applyAlignment="1">
      <alignment/>
    </xf>
    <xf numFmtId="4" fontId="63" fillId="34" borderId="14" xfId="0" applyNumberFormat="1" applyFont="1" applyFill="1" applyBorder="1" applyAlignment="1">
      <alignment wrapText="1"/>
    </xf>
    <xf numFmtId="4" fontId="63" fillId="34" borderId="12" xfId="0" applyNumberFormat="1" applyFont="1" applyFill="1" applyBorder="1" applyAlignment="1">
      <alignment/>
    </xf>
    <xf numFmtId="4" fontId="63" fillId="34" borderId="14" xfId="0" applyNumberFormat="1" applyFont="1" applyFill="1" applyBorder="1" applyAlignment="1">
      <alignment/>
    </xf>
    <xf numFmtId="4" fontId="12" fillId="37" borderId="12" xfId="0" applyNumberFormat="1" applyFont="1" applyFill="1" applyBorder="1" applyAlignment="1">
      <alignment/>
    </xf>
    <xf numFmtId="4" fontId="12" fillId="37" borderId="14" xfId="0" applyNumberFormat="1" applyFont="1" applyFill="1" applyBorder="1" applyAlignment="1">
      <alignment/>
    </xf>
    <xf numFmtId="4" fontId="63" fillId="37" borderId="14" xfId="0" applyNumberFormat="1" applyFont="1" applyFill="1" applyBorder="1" applyAlignment="1">
      <alignment/>
    </xf>
    <xf numFmtId="4" fontId="62" fillId="34" borderId="12" xfId="0" applyNumberFormat="1" applyFont="1" applyFill="1" applyBorder="1" applyAlignment="1">
      <alignment/>
    </xf>
    <xf numFmtId="0" fontId="16" fillId="39" borderId="11" xfId="0" applyFont="1" applyFill="1" applyBorder="1" applyAlignment="1">
      <alignment horizontal="center"/>
    </xf>
    <xf numFmtId="0" fontId="17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right"/>
    </xf>
    <xf numFmtId="4" fontId="12" fillId="37" borderId="24" xfId="0" applyNumberFormat="1" applyFont="1" applyFill="1" applyBorder="1" applyAlignment="1">
      <alignment/>
    </xf>
    <xf numFmtId="4" fontId="12" fillId="37" borderId="25" xfId="0" applyNumberFormat="1" applyFont="1" applyFill="1" applyBorder="1" applyAlignment="1">
      <alignment/>
    </xf>
    <xf numFmtId="0" fontId="12" fillId="36" borderId="13" xfId="0" applyFont="1" applyFill="1" applyBorder="1" applyAlignment="1">
      <alignment wrapText="1"/>
    </xf>
    <xf numFmtId="4" fontId="12" fillId="33" borderId="23" xfId="0" applyNumberFormat="1" applyFont="1" applyFill="1" applyBorder="1" applyAlignment="1">
      <alignment/>
    </xf>
    <xf numFmtId="2" fontId="64" fillId="39" borderId="26" xfId="0" applyNumberFormat="1" applyFont="1" applyFill="1" applyBorder="1" applyAlignment="1">
      <alignment/>
    </xf>
    <xf numFmtId="4" fontId="12" fillId="34" borderId="12" xfId="0" applyNumberFormat="1" applyFont="1" applyFill="1" applyBorder="1" applyAlignment="1">
      <alignment/>
    </xf>
    <xf numFmtId="4" fontId="12" fillId="34" borderId="14" xfId="0" applyNumberFormat="1" applyFont="1" applyFill="1" applyBorder="1" applyAlignment="1">
      <alignment/>
    </xf>
    <xf numFmtId="0" fontId="62" fillId="33" borderId="11" xfId="0" applyFont="1" applyFill="1" applyBorder="1" applyAlignment="1">
      <alignment/>
    </xf>
    <xf numFmtId="0" fontId="62" fillId="33" borderId="11" xfId="0" applyFont="1" applyFill="1" applyBorder="1" applyAlignment="1">
      <alignment wrapText="1"/>
    </xf>
    <xf numFmtId="0" fontId="60" fillId="33" borderId="14" xfId="0" applyFont="1" applyFill="1" applyBorder="1" applyAlignment="1">
      <alignment horizontal="left"/>
    </xf>
    <xf numFmtId="0" fontId="65" fillId="0" borderId="27" xfId="0" applyFont="1" applyBorder="1" applyAlignment="1">
      <alignment horizontal="center" vertical="center"/>
    </xf>
    <xf numFmtId="0" fontId="61" fillId="33" borderId="14" xfId="0" applyFont="1" applyFill="1" applyBorder="1" applyAlignment="1">
      <alignment horizontal="left"/>
    </xf>
    <xf numFmtId="0" fontId="60" fillId="0" borderId="0" xfId="0" applyFont="1" applyAlignment="1">
      <alignment horizontal="left" wrapText="1"/>
    </xf>
    <xf numFmtId="0" fontId="2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right"/>
    </xf>
    <xf numFmtId="0" fontId="0" fillId="13" borderId="15" xfId="0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49" fillId="39" borderId="14" xfId="0" applyFont="1" applyFill="1" applyBorder="1" applyAlignment="1">
      <alignment horizontal="center"/>
    </xf>
    <xf numFmtId="0" fontId="49" fillId="40" borderId="15" xfId="0" applyFont="1" applyFill="1" applyBorder="1" applyAlignment="1">
      <alignment horizontal="center"/>
    </xf>
    <xf numFmtId="0" fontId="49" fillId="40" borderId="29" xfId="0" applyFont="1" applyFill="1" applyBorder="1" applyAlignment="1">
      <alignment horizontal="center"/>
    </xf>
    <xf numFmtId="0" fontId="49" fillId="40" borderId="28" xfId="0" applyFont="1" applyFill="1" applyBorder="1" applyAlignment="1">
      <alignment horizontal="center"/>
    </xf>
    <xf numFmtId="0" fontId="0" fillId="16" borderId="15" xfId="0" applyFill="1" applyBorder="1" applyAlignment="1">
      <alignment horizontal="center"/>
    </xf>
    <xf numFmtId="0" fontId="0" fillId="16" borderId="29" xfId="0" applyFill="1" applyBorder="1" applyAlignment="1">
      <alignment horizontal="center"/>
    </xf>
    <xf numFmtId="0" fontId="0" fillId="16" borderId="28" xfId="0" applyFill="1" applyBorder="1" applyAlignment="1">
      <alignment horizontal="center"/>
    </xf>
    <xf numFmtId="0" fontId="0" fillId="41" borderId="15" xfId="0" applyFill="1" applyBorder="1" applyAlignment="1">
      <alignment horizontal="center"/>
    </xf>
    <xf numFmtId="0" fontId="0" fillId="41" borderId="29" xfId="0" applyFill="1" applyBorder="1" applyAlignment="1">
      <alignment horizontal="center"/>
    </xf>
    <xf numFmtId="0" fontId="0" fillId="41" borderId="28" xfId="0" applyFill="1" applyBorder="1" applyAlignment="1">
      <alignment horizontal="center"/>
    </xf>
    <xf numFmtId="0" fontId="0" fillId="42" borderId="15" xfId="0" applyFill="1" applyBorder="1" applyAlignment="1">
      <alignment horizontal="center"/>
    </xf>
    <xf numFmtId="0" fontId="0" fillId="42" borderId="29" xfId="0" applyFill="1" applyBorder="1" applyAlignment="1">
      <alignment horizontal="center"/>
    </xf>
    <xf numFmtId="0" fontId="0" fillId="43" borderId="15" xfId="0" applyFill="1" applyBorder="1" applyAlignment="1">
      <alignment horizontal="center"/>
    </xf>
    <xf numFmtId="0" fontId="0" fillId="43" borderId="29" xfId="0" applyFill="1" applyBorder="1" applyAlignment="1">
      <alignment horizontal="center"/>
    </xf>
    <xf numFmtId="0" fontId="0" fillId="43" borderId="28" xfId="0" applyFill="1" applyBorder="1" applyAlignment="1">
      <alignment horizontal="center"/>
    </xf>
    <xf numFmtId="0" fontId="0" fillId="44" borderId="15" xfId="0" applyFill="1" applyBorder="1" applyAlignment="1">
      <alignment horizontal="center"/>
    </xf>
    <xf numFmtId="0" fontId="0" fillId="44" borderId="29" xfId="0" applyFill="1" applyBorder="1" applyAlignment="1">
      <alignment horizontal="center"/>
    </xf>
    <xf numFmtId="0" fontId="0" fillId="44" borderId="28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0" fillId="39" borderId="29" xfId="0" applyFill="1" applyBorder="1" applyAlignment="1">
      <alignment horizontal="center"/>
    </xf>
    <xf numFmtId="0" fontId="0" fillId="39" borderId="28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40" borderId="15" xfId="0" applyFill="1" applyBorder="1" applyAlignment="1">
      <alignment horizontal="center"/>
    </xf>
    <xf numFmtId="0" fontId="0" fillId="40" borderId="29" xfId="0" applyFill="1" applyBorder="1" applyAlignment="1">
      <alignment horizontal="center"/>
    </xf>
    <xf numFmtId="0" fontId="0" fillId="40" borderId="28" xfId="0" applyFill="1" applyBorder="1" applyAlignment="1">
      <alignment horizontal="center"/>
    </xf>
    <xf numFmtId="49" fontId="61" fillId="33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7"/>
  <sheetViews>
    <sheetView tabSelected="1" zoomScalePageLayoutView="0" workbookViewId="0" topLeftCell="A58">
      <selection activeCell="D74" sqref="D74"/>
    </sheetView>
  </sheetViews>
  <sheetFormatPr defaultColWidth="40.28125" defaultRowHeight="15"/>
  <cols>
    <col min="1" max="1" width="9.140625" style="170" customWidth="1"/>
    <col min="2" max="2" width="47.7109375" style="150" customWidth="1"/>
    <col min="3" max="3" width="30.421875" style="150" customWidth="1"/>
    <col min="4" max="4" width="26.140625" style="150" customWidth="1"/>
    <col min="5" max="5" width="9.57421875" style="150" customWidth="1"/>
    <col min="6" max="6" width="15.57421875" style="150" customWidth="1"/>
    <col min="7" max="7" width="10.57421875" style="150" customWidth="1"/>
    <col min="8" max="255" width="9.140625" style="150" customWidth="1"/>
    <col min="256" max="16384" width="40.28125" style="150" customWidth="1"/>
  </cols>
  <sheetData>
    <row r="1" spans="2:4" ht="47.25" customHeight="1">
      <c r="B1" s="150" t="s">
        <v>360</v>
      </c>
      <c r="C1" s="217"/>
      <c r="D1" s="217"/>
    </row>
    <row r="2" spans="1:4" ht="50.25" customHeight="1">
      <c r="A2" s="215" t="s">
        <v>356</v>
      </c>
      <c r="B2" s="215"/>
      <c r="C2" s="215"/>
      <c r="D2" s="215"/>
    </row>
    <row r="3" spans="1:4" ht="15">
      <c r="A3" s="214" t="s">
        <v>353</v>
      </c>
      <c r="B3" s="214"/>
      <c r="C3" s="216" t="s">
        <v>354</v>
      </c>
      <c r="D3" s="214"/>
    </row>
    <row r="4" spans="1:4" ht="15">
      <c r="A4" s="151" t="s">
        <v>3</v>
      </c>
      <c r="B4" s="152"/>
      <c r="C4" s="153"/>
      <c r="D4" s="154"/>
    </row>
    <row r="5" spans="1:4" ht="17.25" customHeight="1">
      <c r="A5" s="155">
        <v>1</v>
      </c>
      <c r="B5" s="172" t="s">
        <v>358</v>
      </c>
      <c r="C5" s="156">
        <v>599438.23</v>
      </c>
      <c r="D5" s="173"/>
    </row>
    <row r="6" spans="1:4" ht="9" customHeight="1">
      <c r="A6" s="157"/>
      <c r="B6" s="174"/>
      <c r="C6" s="175"/>
      <c r="D6" s="176"/>
    </row>
    <row r="7" spans="1:5" ht="17.25" customHeight="1">
      <c r="A7" s="158"/>
      <c r="B7" s="177"/>
      <c r="C7" s="178" t="s">
        <v>287</v>
      </c>
      <c r="D7" s="179" t="s">
        <v>288</v>
      </c>
      <c r="E7" s="159"/>
    </row>
    <row r="8" spans="1:7" ht="20.25">
      <c r="A8" s="155"/>
      <c r="B8" s="203" t="s">
        <v>6</v>
      </c>
      <c r="C8" s="160"/>
      <c r="D8" s="161"/>
      <c r="G8" s="159"/>
    </row>
    <row r="9" spans="1:4" ht="15.75">
      <c r="A9" s="155">
        <v>2</v>
      </c>
      <c r="B9" s="212" t="s">
        <v>99</v>
      </c>
      <c r="C9" s="210">
        <f>D9/12</f>
        <v>251272</v>
      </c>
      <c r="D9" s="211">
        <f>10*25127.2*12</f>
        <v>3015264</v>
      </c>
    </row>
    <row r="10" spans="1:7" ht="31.5">
      <c r="A10" s="155">
        <v>3</v>
      </c>
      <c r="B10" s="213" t="s">
        <v>7</v>
      </c>
      <c r="C10" s="210">
        <f>D10/12</f>
        <v>19600</v>
      </c>
      <c r="D10" s="211">
        <v>235200</v>
      </c>
      <c r="F10" s="162"/>
      <c r="G10" s="159"/>
    </row>
    <row r="11" spans="1:10" ht="15.75">
      <c r="A11" s="155"/>
      <c r="B11" s="163" t="s">
        <v>9</v>
      </c>
      <c r="C11" s="160">
        <f>SUM(C9:C10)</f>
        <v>270872</v>
      </c>
      <c r="D11" s="161">
        <f>SUM(D9:D10)</f>
        <v>3250464</v>
      </c>
      <c r="F11" s="171"/>
      <c r="J11" s="164"/>
    </row>
    <row r="12" spans="1:4" ht="20.25">
      <c r="A12" s="155"/>
      <c r="B12" s="203" t="s">
        <v>10</v>
      </c>
      <c r="C12" s="181"/>
      <c r="D12" s="182"/>
    </row>
    <row r="13" spans="1:4" ht="15.75">
      <c r="A13" s="165" t="s">
        <v>306</v>
      </c>
      <c r="B13" s="186" t="s">
        <v>12</v>
      </c>
      <c r="C13" s="184">
        <f>D13/12</f>
        <v>125000</v>
      </c>
      <c r="D13" s="185">
        <v>1500000</v>
      </c>
    </row>
    <row r="14" spans="1:6" ht="15.75">
      <c r="A14" s="165" t="s">
        <v>307</v>
      </c>
      <c r="B14" s="186" t="s">
        <v>25</v>
      </c>
      <c r="C14" s="184">
        <f aca="true" t="shared" si="0" ref="C14:C28">D14/12</f>
        <v>10000</v>
      </c>
      <c r="D14" s="185">
        <v>120000</v>
      </c>
      <c r="F14" s="159"/>
    </row>
    <row r="15" spans="1:6" ht="31.5">
      <c r="A15" s="165" t="s">
        <v>308</v>
      </c>
      <c r="B15" s="186" t="s">
        <v>28</v>
      </c>
      <c r="C15" s="184">
        <f t="shared" si="0"/>
        <v>26000</v>
      </c>
      <c r="D15" s="185">
        <v>312000</v>
      </c>
      <c r="F15" s="159"/>
    </row>
    <row r="16" spans="1:4" ht="15.75">
      <c r="A16" s="165" t="s">
        <v>309</v>
      </c>
      <c r="B16" s="186" t="s">
        <v>352</v>
      </c>
      <c r="C16" s="184">
        <f t="shared" si="0"/>
        <v>1000</v>
      </c>
      <c r="D16" s="185">
        <v>12000</v>
      </c>
    </row>
    <row r="17" spans="1:4" ht="15.75">
      <c r="A17" s="165" t="s">
        <v>70</v>
      </c>
      <c r="B17" s="186" t="s">
        <v>290</v>
      </c>
      <c r="C17" s="184">
        <f t="shared" si="0"/>
        <v>2500</v>
      </c>
      <c r="D17" s="185">
        <v>30000</v>
      </c>
    </row>
    <row r="18" spans="1:4" ht="15.75">
      <c r="A18" s="165" t="s">
        <v>92</v>
      </c>
      <c r="B18" s="186" t="s">
        <v>125</v>
      </c>
      <c r="C18" s="184">
        <f t="shared" si="0"/>
        <v>33170</v>
      </c>
      <c r="D18" s="185">
        <v>398040</v>
      </c>
    </row>
    <row r="19" spans="1:4" ht="15.75">
      <c r="A19" s="165" t="s">
        <v>298</v>
      </c>
      <c r="B19" s="186" t="s">
        <v>31</v>
      </c>
      <c r="C19" s="184">
        <f t="shared" si="0"/>
        <v>5000</v>
      </c>
      <c r="D19" s="185">
        <v>60000</v>
      </c>
    </row>
    <row r="20" spans="1:4" ht="15.75">
      <c r="A20" s="165" t="s">
        <v>301</v>
      </c>
      <c r="B20" s="186" t="s">
        <v>291</v>
      </c>
      <c r="C20" s="184">
        <f t="shared" si="0"/>
        <v>1500</v>
      </c>
      <c r="D20" s="185">
        <v>18000</v>
      </c>
    </row>
    <row r="21" spans="1:4" ht="15.75">
      <c r="A21" s="165" t="s">
        <v>302</v>
      </c>
      <c r="B21" s="186" t="s">
        <v>289</v>
      </c>
      <c r="C21" s="184">
        <f t="shared" si="0"/>
        <v>1250</v>
      </c>
      <c r="D21" s="185">
        <v>15000</v>
      </c>
    </row>
    <row r="22" spans="1:4" ht="15.75">
      <c r="A22" s="165" t="s">
        <v>303</v>
      </c>
      <c r="B22" s="186" t="s">
        <v>56</v>
      </c>
      <c r="C22" s="184">
        <f t="shared" si="0"/>
        <v>11000</v>
      </c>
      <c r="D22" s="185">
        <v>132000</v>
      </c>
    </row>
    <row r="23" spans="1:4" ht="15.75">
      <c r="A23" s="165" t="s">
        <v>304</v>
      </c>
      <c r="B23" s="186" t="s">
        <v>292</v>
      </c>
      <c r="C23" s="184">
        <f>D23/12</f>
        <v>3500</v>
      </c>
      <c r="D23" s="185">
        <v>42000</v>
      </c>
    </row>
    <row r="24" spans="1:4" ht="31.5">
      <c r="A24" s="165" t="s">
        <v>310</v>
      </c>
      <c r="B24" s="186" t="s">
        <v>369</v>
      </c>
      <c r="C24" s="184">
        <f t="shared" si="0"/>
        <v>2500</v>
      </c>
      <c r="D24" s="187">
        <v>30000</v>
      </c>
    </row>
    <row r="25" spans="1:4" ht="15.75">
      <c r="A25" s="165" t="s">
        <v>311</v>
      </c>
      <c r="B25" s="186" t="s">
        <v>336</v>
      </c>
      <c r="C25" s="184">
        <f t="shared" si="0"/>
        <v>1000</v>
      </c>
      <c r="D25" s="187">
        <v>12000</v>
      </c>
    </row>
    <row r="26" spans="1:4" ht="15.75">
      <c r="A26" s="165" t="s">
        <v>312</v>
      </c>
      <c r="B26" s="186" t="s">
        <v>293</v>
      </c>
      <c r="C26" s="184">
        <f t="shared" si="0"/>
        <v>3100</v>
      </c>
      <c r="D26" s="188">
        <v>37200</v>
      </c>
    </row>
    <row r="27" spans="1:4" ht="15.75">
      <c r="A27" s="165" t="s">
        <v>313</v>
      </c>
      <c r="B27" s="186" t="s">
        <v>299</v>
      </c>
      <c r="C27" s="184">
        <f t="shared" si="0"/>
        <v>1300</v>
      </c>
      <c r="D27" s="188">
        <v>15600</v>
      </c>
    </row>
    <row r="28" spans="1:4" ht="15.75">
      <c r="A28" s="165" t="s">
        <v>314</v>
      </c>
      <c r="B28" s="207" t="s">
        <v>357</v>
      </c>
      <c r="C28" s="206">
        <f t="shared" si="0"/>
        <v>1800</v>
      </c>
      <c r="D28" s="205">
        <v>21600</v>
      </c>
    </row>
    <row r="29" spans="1:4" ht="15.75">
      <c r="A29" s="165"/>
      <c r="B29" s="189" t="s">
        <v>9</v>
      </c>
      <c r="C29" s="190">
        <f>SUM(C13:C28)</f>
        <v>229620</v>
      </c>
      <c r="D29" s="191">
        <f>SUM(D13:D28)</f>
        <v>2755440</v>
      </c>
    </row>
    <row r="30" spans="1:4" ht="31.5">
      <c r="A30" s="165" t="s">
        <v>315</v>
      </c>
      <c r="B30" s="186" t="s">
        <v>294</v>
      </c>
      <c r="C30" s="184">
        <f>D30/12</f>
        <v>12500</v>
      </c>
      <c r="D30" s="185">
        <v>150000</v>
      </c>
    </row>
    <row r="31" spans="1:4" ht="18" customHeight="1">
      <c r="A31" s="166"/>
      <c r="B31" s="202" t="s">
        <v>71</v>
      </c>
      <c r="C31" s="192">
        <f>C32+C38+C42+C52</f>
        <v>65010</v>
      </c>
      <c r="D31" s="209">
        <f>D32+D38+D42+D52</f>
        <v>819120</v>
      </c>
    </row>
    <row r="32" spans="1:4" ht="15.75">
      <c r="A32" s="167" t="s">
        <v>316</v>
      </c>
      <c r="B32" s="183" t="s">
        <v>73</v>
      </c>
      <c r="C32" s="184">
        <f>SUM(C33:C37)</f>
        <v>8075</v>
      </c>
      <c r="D32" s="185">
        <f>SUM(D33:D37)</f>
        <v>96900</v>
      </c>
    </row>
    <row r="33" spans="1:5" ht="60" customHeight="1">
      <c r="A33" s="168" t="s">
        <v>317</v>
      </c>
      <c r="B33" s="180" t="s">
        <v>295</v>
      </c>
      <c r="C33" s="193">
        <f>D33/12</f>
        <v>2675</v>
      </c>
      <c r="D33" s="194">
        <v>32100</v>
      </c>
      <c r="E33" s="164"/>
    </row>
    <row r="34" spans="1:7" ht="31.5">
      <c r="A34" s="168" t="s">
        <v>318</v>
      </c>
      <c r="B34" s="180" t="s">
        <v>296</v>
      </c>
      <c r="C34" s="193">
        <f>D34/12</f>
        <v>2500</v>
      </c>
      <c r="D34" s="194">
        <v>30000</v>
      </c>
      <c r="E34" s="164"/>
      <c r="G34" s="164"/>
    </row>
    <row r="35" spans="1:5" ht="30" customHeight="1">
      <c r="A35" s="168" t="s">
        <v>319</v>
      </c>
      <c r="B35" s="180" t="s">
        <v>365</v>
      </c>
      <c r="C35" s="193">
        <f>D35/12</f>
        <v>500</v>
      </c>
      <c r="D35" s="195">
        <v>6000</v>
      </c>
      <c r="E35" s="164"/>
    </row>
    <row r="36" spans="1:5" ht="31.5">
      <c r="A36" s="168" t="s">
        <v>337</v>
      </c>
      <c r="B36" s="180" t="s">
        <v>362</v>
      </c>
      <c r="C36" s="193">
        <f>D36/12</f>
        <v>300</v>
      </c>
      <c r="D36" s="195">
        <v>3600</v>
      </c>
      <c r="E36" s="164"/>
    </row>
    <row r="37" spans="1:4" ht="47.25">
      <c r="A37" s="168" t="s">
        <v>338</v>
      </c>
      <c r="B37" s="180" t="s">
        <v>103</v>
      </c>
      <c r="C37" s="193">
        <f>D37/12</f>
        <v>2100</v>
      </c>
      <c r="D37" s="195">
        <v>25200</v>
      </c>
    </row>
    <row r="38" spans="1:4" ht="15.75">
      <c r="A38" s="167" t="s">
        <v>320</v>
      </c>
      <c r="B38" s="186" t="s">
        <v>76</v>
      </c>
      <c r="C38" s="184">
        <f>SUM(C39:C40)</f>
        <v>2200</v>
      </c>
      <c r="D38" s="185">
        <f>SUM(D39:D41)</f>
        <v>65400</v>
      </c>
    </row>
    <row r="39" spans="1:5" ht="47.25">
      <c r="A39" s="168" t="s">
        <v>355</v>
      </c>
      <c r="B39" s="180" t="s">
        <v>305</v>
      </c>
      <c r="C39" s="196">
        <f>D39/12</f>
        <v>200</v>
      </c>
      <c r="D39" s="197">
        <v>2400</v>
      </c>
      <c r="E39" s="164"/>
    </row>
    <row r="40" spans="1:5" ht="66.75" customHeight="1">
      <c r="A40" s="168" t="s">
        <v>321</v>
      </c>
      <c r="B40" s="180" t="s">
        <v>372</v>
      </c>
      <c r="C40" s="196">
        <f>D40/12</f>
        <v>2000</v>
      </c>
      <c r="D40" s="197">
        <v>24000</v>
      </c>
      <c r="E40" s="164"/>
    </row>
    <row r="41" spans="1:5" ht="34.5" customHeight="1">
      <c r="A41" s="168" t="s">
        <v>371</v>
      </c>
      <c r="B41" s="180" t="s">
        <v>373</v>
      </c>
      <c r="C41" s="196">
        <f>D41/12</f>
        <v>3250</v>
      </c>
      <c r="D41" s="197">
        <v>39000</v>
      </c>
      <c r="E41" s="164"/>
    </row>
    <row r="42" spans="1:4" ht="15.75">
      <c r="A42" s="167" t="s">
        <v>322</v>
      </c>
      <c r="B42" s="186" t="s">
        <v>81</v>
      </c>
      <c r="C42" s="198">
        <f>SUM(C43:C51)</f>
        <v>40250</v>
      </c>
      <c r="D42" s="199">
        <f>SUM(D43:D51)</f>
        <v>483000</v>
      </c>
    </row>
    <row r="43" spans="1:7" ht="15.75">
      <c r="A43" s="168" t="s">
        <v>323</v>
      </c>
      <c r="B43" s="180" t="s">
        <v>361</v>
      </c>
      <c r="C43" s="196">
        <f>D43/12</f>
        <v>10900</v>
      </c>
      <c r="D43" s="197">
        <v>130800</v>
      </c>
      <c r="E43" s="164"/>
      <c r="G43" s="164"/>
    </row>
    <row r="44" spans="1:5" ht="15.75">
      <c r="A44" s="168" t="s">
        <v>324</v>
      </c>
      <c r="B44" s="180" t="s">
        <v>359</v>
      </c>
      <c r="C44" s="196">
        <f aca="true" t="shared" si="1" ref="C44:C51">D44/12</f>
        <v>500</v>
      </c>
      <c r="D44" s="197">
        <v>6000</v>
      </c>
      <c r="E44" s="164"/>
    </row>
    <row r="45" spans="1:4" ht="63">
      <c r="A45" s="168" t="s">
        <v>325</v>
      </c>
      <c r="B45" s="180" t="s">
        <v>374</v>
      </c>
      <c r="C45" s="196">
        <f t="shared" si="1"/>
        <v>21700</v>
      </c>
      <c r="D45" s="197">
        <v>260400</v>
      </c>
    </row>
    <row r="46" spans="1:4" ht="15.75">
      <c r="A46" s="168" t="s">
        <v>326</v>
      </c>
      <c r="B46" s="180" t="s">
        <v>370</v>
      </c>
      <c r="C46" s="196">
        <f t="shared" si="1"/>
        <v>1400</v>
      </c>
      <c r="D46" s="197">
        <v>16800</v>
      </c>
    </row>
    <row r="47" spans="1:7" ht="31.5">
      <c r="A47" s="168" t="s">
        <v>327</v>
      </c>
      <c r="B47" s="180" t="s">
        <v>297</v>
      </c>
      <c r="C47" s="196">
        <f t="shared" si="1"/>
        <v>150</v>
      </c>
      <c r="D47" s="197">
        <v>1800</v>
      </c>
      <c r="G47" s="164"/>
    </row>
    <row r="48" spans="1:7" ht="15.75">
      <c r="A48" s="168" t="s">
        <v>328</v>
      </c>
      <c r="B48" s="180" t="s">
        <v>364</v>
      </c>
      <c r="C48" s="196">
        <f t="shared" si="1"/>
        <v>4000</v>
      </c>
      <c r="D48" s="197">
        <v>48000</v>
      </c>
      <c r="E48" s="169"/>
      <c r="G48" s="164"/>
    </row>
    <row r="49" spans="1:5" ht="31.5">
      <c r="A49" s="168" t="s">
        <v>329</v>
      </c>
      <c r="B49" s="180" t="s">
        <v>350</v>
      </c>
      <c r="C49" s="196">
        <f t="shared" si="1"/>
        <v>350</v>
      </c>
      <c r="D49" s="197">
        <v>4200</v>
      </c>
      <c r="E49" s="164"/>
    </row>
    <row r="50" spans="1:5" ht="15.75">
      <c r="A50" s="168" t="s">
        <v>330</v>
      </c>
      <c r="B50" s="180" t="s">
        <v>109</v>
      </c>
      <c r="C50" s="196">
        <f t="shared" si="1"/>
        <v>250</v>
      </c>
      <c r="D50" s="197">
        <v>3000</v>
      </c>
      <c r="E50" s="164"/>
    </row>
    <row r="51" spans="1:5" ht="31.5">
      <c r="A51" s="168" t="s">
        <v>331</v>
      </c>
      <c r="B51" s="180" t="s">
        <v>351</v>
      </c>
      <c r="C51" s="196">
        <f t="shared" si="1"/>
        <v>1000</v>
      </c>
      <c r="D51" s="197">
        <v>12000</v>
      </c>
      <c r="E51" s="164"/>
    </row>
    <row r="52" spans="1:4" ht="15.75">
      <c r="A52" s="167" t="s">
        <v>332</v>
      </c>
      <c r="B52" s="186" t="s">
        <v>87</v>
      </c>
      <c r="C52" s="198">
        <f>SUM(C53:C63)</f>
        <v>14485</v>
      </c>
      <c r="D52" s="199">
        <f>SUM(D53:D63)</f>
        <v>173820</v>
      </c>
    </row>
    <row r="53" spans="1:10" ht="31.5">
      <c r="A53" s="168" t="s">
        <v>339</v>
      </c>
      <c r="B53" s="180" t="s">
        <v>375</v>
      </c>
      <c r="C53" s="196">
        <f aca="true" t="shared" si="2" ref="C53:C65">D53/12</f>
        <v>6000</v>
      </c>
      <c r="D53" s="200">
        <v>72000</v>
      </c>
      <c r="G53" s="164"/>
      <c r="J53" s="164"/>
    </row>
    <row r="54" spans="1:8" ht="15.75">
      <c r="A54" s="168" t="s">
        <v>340</v>
      </c>
      <c r="B54" s="180" t="s">
        <v>366</v>
      </c>
      <c r="C54" s="196">
        <f t="shared" si="2"/>
        <v>800</v>
      </c>
      <c r="D54" s="197">
        <v>9600</v>
      </c>
      <c r="E54" s="164"/>
      <c r="F54" s="164"/>
      <c r="H54" s="164"/>
    </row>
    <row r="55" spans="1:8" ht="15.75">
      <c r="A55" s="168" t="s">
        <v>341</v>
      </c>
      <c r="B55" s="180" t="s">
        <v>363</v>
      </c>
      <c r="C55" s="196">
        <f t="shared" si="2"/>
        <v>1500</v>
      </c>
      <c r="D55" s="197">
        <v>18000</v>
      </c>
      <c r="F55" s="164"/>
      <c r="H55" s="164"/>
    </row>
    <row r="56" spans="1:8" ht="15.75">
      <c r="A56" s="168" t="s">
        <v>342</v>
      </c>
      <c r="B56" s="180" t="s">
        <v>113</v>
      </c>
      <c r="C56" s="196">
        <f t="shared" si="2"/>
        <v>150</v>
      </c>
      <c r="D56" s="197">
        <v>1800</v>
      </c>
      <c r="E56" s="164"/>
      <c r="H56" s="164"/>
    </row>
    <row r="57" spans="1:5" ht="61.5" customHeight="1">
      <c r="A57" s="168" t="s">
        <v>343</v>
      </c>
      <c r="B57" s="180" t="s">
        <v>300</v>
      </c>
      <c r="C57" s="196">
        <f t="shared" si="2"/>
        <v>450</v>
      </c>
      <c r="D57" s="197">
        <v>5400</v>
      </c>
      <c r="E57" s="164"/>
    </row>
    <row r="58" spans="1:6" ht="15.75">
      <c r="A58" s="168" t="s">
        <v>344</v>
      </c>
      <c r="B58" s="180" t="s">
        <v>115</v>
      </c>
      <c r="C58" s="196">
        <f t="shared" si="2"/>
        <v>500</v>
      </c>
      <c r="D58" s="197">
        <v>6000</v>
      </c>
      <c r="F58" s="164"/>
    </row>
    <row r="59" spans="1:4" ht="47.25">
      <c r="A59" s="168" t="s">
        <v>345</v>
      </c>
      <c r="B59" s="180" t="s">
        <v>119</v>
      </c>
      <c r="C59" s="196">
        <f t="shared" si="2"/>
        <v>450</v>
      </c>
      <c r="D59" s="197">
        <v>5400</v>
      </c>
    </row>
    <row r="60" spans="1:4" ht="15.75">
      <c r="A60" s="168" t="s">
        <v>346</v>
      </c>
      <c r="B60" s="180" t="s">
        <v>89</v>
      </c>
      <c r="C60" s="196">
        <f t="shared" si="2"/>
        <v>160</v>
      </c>
      <c r="D60" s="197">
        <v>1920</v>
      </c>
    </row>
    <row r="61" spans="1:4" ht="15.75">
      <c r="A61" s="168" t="s">
        <v>347</v>
      </c>
      <c r="B61" s="180" t="s">
        <v>90</v>
      </c>
      <c r="C61" s="196">
        <f t="shared" si="2"/>
        <v>100</v>
      </c>
      <c r="D61" s="197">
        <v>1200</v>
      </c>
    </row>
    <row r="62" spans="1:4" ht="15.75">
      <c r="A62" s="168" t="s">
        <v>348</v>
      </c>
      <c r="B62" s="180" t="s">
        <v>88</v>
      </c>
      <c r="C62" s="196">
        <f t="shared" si="2"/>
        <v>375</v>
      </c>
      <c r="D62" s="197">
        <v>4500</v>
      </c>
    </row>
    <row r="63" spans="1:4" ht="31.5">
      <c r="A63" s="251" t="s">
        <v>333</v>
      </c>
      <c r="B63" s="213" t="s">
        <v>368</v>
      </c>
      <c r="C63" s="196">
        <f t="shared" si="2"/>
        <v>4000</v>
      </c>
      <c r="D63" s="197">
        <v>48000</v>
      </c>
    </row>
    <row r="64" spans="1:4" ht="31.5">
      <c r="A64" s="167" t="s">
        <v>349</v>
      </c>
      <c r="B64" s="186" t="s">
        <v>116</v>
      </c>
      <c r="C64" s="201">
        <f t="shared" si="2"/>
        <v>3000</v>
      </c>
      <c r="D64" s="199">
        <v>36000</v>
      </c>
    </row>
    <row r="65" spans="1:4" ht="15.75">
      <c r="A65" s="167" t="s">
        <v>367</v>
      </c>
      <c r="B65" s="186" t="s">
        <v>93</v>
      </c>
      <c r="C65" s="201">
        <f t="shared" si="2"/>
        <v>7445</v>
      </c>
      <c r="D65" s="199">
        <v>89340</v>
      </c>
    </row>
    <row r="66" spans="1:4" ht="18.75">
      <c r="A66" s="155"/>
      <c r="B66" s="204" t="s">
        <v>9</v>
      </c>
      <c r="C66" s="208">
        <f>C65+C64+C31+C29+C30</f>
        <v>317575</v>
      </c>
      <c r="D66" s="208">
        <f>D65+D64+D31+D29+D30</f>
        <v>3849900</v>
      </c>
    </row>
    <row r="69" spans="2:4" ht="15">
      <c r="B69" s="150" t="s">
        <v>334</v>
      </c>
      <c r="D69" s="150" t="s">
        <v>335</v>
      </c>
    </row>
    <row r="72" ht="15">
      <c r="D72" s="171">
        <f>C5+D11-D66</f>
        <v>2.2299999999813735</v>
      </c>
    </row>
    <row r="73" ht="15">
      <c r="D73" s="171"/>
    </row>
    <row r="74" ht="15">
      <c r="D74" s="171"/>
    </row>
    <row r="77" ht="15">
      <c r="D77" s="171"/>
    </row>
  </sheetData>
  <sheetProtection/>
  <mergeCells count="4">
    <mergeCell ref="A3:B3"/>
    <mergeCell ref="A2:D2"/>
    <mergeCell ref="C3:D3"/>
    <mergeCell ref="C1:D1"/>
  </mergeCell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7"/>
  <sheetViews>
    <sheetView zoomScalePageLayoutView="0" workbookViewId="0" topLeftCell="A4">
      <selection activeCell="C4" sqref="C4"/>
    </sheetView>
  </sheetViews>
  <sheetFormatPr defaultColWidth="9.140625" defaultRowHeight="15"/>
  <cols>
    <col min="2" max="2" width="41.28125" style="0" customWidth="1"/>
    <col min="3" max="3" width="13.00390625" style="0" customWidth="1"/>
    <col min="4" max="4" width="30.421875" style="0" customWidth="1"/>
    <col min="5" max="5" width="23.8515625" style="0" customWidth="1"/>
    <col min="6" max="6" width="43.00390625" style="31" customWidth="1"/>
    <col min="7" max="7" width="9.57421875" style="0" customWidth="1"/>
    <col min="8" max="9" width="10.57421875" style="0" customWidth="1"/>
  </cols>
  <sheetData>
    <row r="1" spans="1:6" ht="50.25" customHeight="1">
      <c r="A1" s="218" t="s">
        <v>132</v>
      </c>
      <c r="B1" s="218"/>
      <c r="C1" s="218"/>
      <c r="D1" s="218"/>
      <c r="E1" s="218"/>
      <c r="F1" s="218"/>
    </row>
    <row r="2" spans="1:6" ht="15">
      <c r="A2" s="219" t="s">
        <v>0</v>
      </c>
      <c r="B2" s="219"/>
      <c r="C2" s="1"/>
      <c r="D2" s="220" t="s">
        <v>285</v>
      </c>
      <c r="E2" s="220"/>
      <c r="F2" s="220"/>
    </row>
    <row r="3" spans="1:6" ht="51.75">
      <c r="A3" s="2"/>
      <c r="B3" s="2"/>
      <c r="C3" s="3" t="s">
        <v>286</v>
      </c>
      <c r="D3" s="4" t="s">
        <v>1</v>
      </c>
      <c r="E3" s="5" t="s">
        <v>2</v>
      </c>
      <c r="F3" s="4" t="s">
        <v>276</v>
      </c>
    </row>
    <row r="4" spans="1:6" ht="17.25" customHeight="1">
      <c r="A4" s="6">
        <v>1</v>
      </c>
      <c r="B4" s="99" t="s">
        <v>124</v>
      </c>
      <c r="C4" s="100">
        <v>185207.2200000002</v>
      </c>
      <c r="D4" s="100"/>
      <c r="E4" s="101"/>
      <c r="F4" s="100"/>
    </row>
    <row r="5" spans="1:6" ht="17.25" customHeight="1">
      <c r="A5" s="74"/>
      <c r="B5" s="102"/>
      <c r="C5" s="103"/>
      <c r="D5" s="104"/>
      <c r="E5" s="105"/>
      <c r="F5" s="104"/>
    </row>
    <row r="6" spans="1:7" ht="39" customHeight="1">
      <c r="A6" s="4" t="s">
        <v>3</v>
      </c>
      <c r="B6" s="106"/>
      <c r="C6" s="106"/>
      <c r="D6" s="106" t="s">
        <v>4</v>
      </c>
      <c r="E6" s="107" t="s">
        <v>1</v>
      </c>
      <c r="F6" s="106" t="s">
        <v>5</v>
      </c>
      <c r="G6" s="9"/>
    </row>
    <row r="7" spans="1:9" ht="15.75">
      <c r="A7" s="6"/>
      <c r="B7" s="10" t="s">
        <v>6</v>
      </c>
      <c r="C7" s="10"/>
      <c r="D7" s="38"/>
      <c r="E7" s="38"/>
      <c r="F7" s="38"/>
      <c r="I7" s="9"/>
    </row>
    <row r="8" spans="1:6" ht="15.75">
      <c r="A8" s="6">
        <v>2</v>
      </c>
      <c r="B8" s="99" t="s">
        <v>99</v>
      </c>
      <c r="C8" s="99"/>
      <c r="D8" s="108">
        <v>2520821</v>
      </c>
      <c r="E8" s="108">
        <v>2395543.61</v>
      </c>
      <c r="F8" s="100">
        <f>D8-E8</f>
        <v>125277.39000000013</v>
      </c>
    </row>
    <row r="9" spans="1:9" ht="31.5">
      <c r="A9" s="6">
        <v>3</v>
      </c>
      <c r="B9" s="109" t="s">
        <v>7</v>
      </c>
      <c r="C9" s="109"/>
      <c r="D9" s="108">
        <v>202116</v>
      </c>
      <c r="E9" s="110">
        <v>192532.91</v>
      </c>
      <c r="F9" s="100">
        <f>C9+D9-E9</f>
        <v>9583.089999999997</v>
      </c>
      <c r="I9" s="9"/>
    </row>
    <row r="10" spans="1:9" ht="15.75">
      <c r="A10" s="6"/>
      <c r="B10" s="109" t="s">
        <v>8</v>
      </c>
      <c r="C10" s="109"/>
      <c r="D10" s="108"/>
      <c r="E10" s="110">
        <v>940.44</v>
      </c>
      <c r="F10" s="100"/>
      <c r="I10" s="9"/>
    </row>
    <row r="11" spans="1:9" ht="15.75">
      <c r="A11" s="6"/>
      <c r="B11" s="109" t="s">
        <v>126</v>
      </c>
      <c r="C11" s="109"/>
      <c r="D11" s="108"/>
      <c r="E11" s="110">
        <v>12242.31</v>
      </c>
      <c r="F11" s="100"/>
      <c r="I11" s="9"/>
    </row>
    <row r="12" spans="1:9" ht="15.75">
      <c r="A12" s="6"/>
      <c r="B12" s="109" t="s">
        <v>155</v>
      </c>
      <c r="C12" s="109"/>
      <c r="D12" s="108"/>
      <c r="E12" s="110">
        <v>6444.96</v>
      </c>
      <c r="F12" s="100"/>
      <c r="I12" s="9"/>
    </row>
    <row r="13" spans="1:9" ht="15.75">
      <c r="A13" s="6"/>
      <c r="B13" s="109" t="s">
        <v>255</v>
      </c>
      <c r="C13" s="109"/>
      <c r="D13" s="108"/>
      <c r="E13" s="110">
        <v>1496</v>
      </c>
      <c r="F13" s="100"/>
      <c r="I13" s="9"/>
    </row>
    <row r="14" spans="1:12" ht="15.75">
      <c r="A14" s="6"/>
      <c r="B14" s="111" t="s">
        <v>9</v>
      </c>
      <c r="C14" s="111"/>
      <c r="D14" s="38">
        <f>SUM(D8:D11)</f>
        <v>2722937</v>
      </c>
      <c r="E14" s="38">
        <f>SUM(E8:E13)</f>
        <v>2609200.23</v>
      </c>
      <c r="F14" s="38">
        <f>SUM(F8:F11)</f>
        <v>134860.48000000013</v>
      </c>
      <c r="L14" s="16"/>
    </row>
    <row r="15" spans="1:8" ht="15.75">
      <c r="A15" s="4" t="s">
        <v>3</v>
      </c>
      <c r="B15" s="106"/>
      <c r="C15" s="106"/>
      <c r="D15" s="112" t="s">
        <v>4</v>
      </c>
      <c r="E15" s="113" t="s">
        <v>2</v>
      </c>
      <c r="F15" s="106" t="s">
        <v>5</v>
      </c>
      <c r="H15" s="9"/>
    </row>
    <row r="16" spans="1:6" ht="15.75">
      <c r="A16" s="6">
        <v>4</v>
      </c>
      <c r="B16" s="10" t="s">
        <v>10</v>
      </c>
      <c r="C16" s="10"/>
      <c r="D16" s="114"/>
      <c r="E16" s="115"/>
      <c r="F16" s="116"/>
    </row>
    <row r="17" spans="1:6" ht="15.75">
      <c r="A17" s="17" t="s">
        <v>11</v>
      </c>
      <c r="B17" s="117" t="s">
        <v>12</v>
      </c>
      <c r="C17" s="118"/>
      <c r="D17" s="119">
        <v>1271400</v>
      </c>
      <c r="E17" s="120">
        <f>SUM(E18:E29)</f>
        <v>1280589.12</v>
      </c>
      <c r="F17" s="118">
        <f>D17-E17</f>
        <v>-9189.120000000112</v>
      </c>
    </row>
    <row r="18" spans="1:9" ht="15.75">
      <c r="A18" s="20"/>
      <c r="B18" s="99" t="s">
        <v>13</v>
      </c>
      <c r="C18" s="121"/>
      <c r="D18" s="122"/>
      <c r="E18" s="123">
        <f>83546.2+575</f>
        <v>84121.2</v>
      </c>
      <c r="F18" s="121" t="s">
        <v>156</v>
      </c>
      <c r="I18" s="9"/>
    </row>
    <row r="19" spans="1:8" ht="15.75">
      <c r="A19" s="20"/>
      <c r="B19" s="99" t="s">
        <v>14</v>
      </c>
      <c r="C19" s="121"/>
      <c r="D19" s="124"/>
      <c r="E19" s="123">
        <f>6900+1724.73+6500+65180.3+575</f>
        <v>80880.03</v>
      </c>
      <c r="F19" s="121" t="s">
        <v>156</v>
      </c>
      <c r="H19" s="9"/>
    </row>
    <row r="20" spans="1:6" ht="15.75">
      <c r="A20" s="20"/>
      <c r="B20" s="99" t="s">
        <v>15</v>
      </c>
      <c r="C20" s="121"/>
      <c r="D20" s="124"/>
      <c r="E20" s="123">
        <f>73919.7+6900+575</f>
        <v>81394.7</v>
      </c>
      <c r="F20" s="121"/>
    </row>
    <row r="21" spans="1:9" ht="15.75">
      <c r="A21" s="20"/>
      <c r="B21" s="99" t="s">
        <v>16</v>
      </c>
      <c r="C21" s="121"/>
      <c r="D21" s="124"/>
      <c r="E21" s="123">
        <f>72236.37+2085.22+10424.19+2822.73+6120.43+2545.45+4077.27+575</f>
        <v>100886.66</v>
      </c>
      <c r="F21" s="121" t="s">
        <v>123</v>
      </c>
      <c r="I21" s="9"/>
    </row>
    <row r="22" spans="1:6" ht="15.75">
      <c r="A22" s="20"/>
      <c r="B22" s="99" t="s">
        <v>17</v>
      </c>
      <c r="C22" s="121"/>
      <c r="D22" s="124"/>
      <c r="E22" s="123">
        <f>63471.73+84433.34+24852.94+7000+3422.22+575</f>
        <v>183755.23</v>
      </c>
      <c r="F22" s="121" t="s">
        <v>157</v>
      </c>
    </row>
    <row r="23" spans="1:6" ht="15.75">
      <c r="A23" s="20"/>
      <c r="B23" s="99" t="s">
        <v>18</v>
      </c>
      <c r="C23" s="121"/>
      <c r="D23" s="124"/>
      <c r="E23" s="123">
        <f>87800+5923.97+5000+3683.27+575</f>
        <v>102982.24</v>
      </c>
      <c r="F23" s="121" t="s">
        <v>123</v>
      </c>
    </row>
    <row r="24" spans="1:7" ht="15.75">
      <c r="A24" s="20"/>
      <c r="B24" s="99" t="s">
        <v>19</v>
      </c>
      <c r="C24" s="121"/>
      <c r="D24" s="124"/>
      <c r="E24" s="123">
        <f>2658.73+8129.62+79256.52+6956.52+5000+4239.13+7502.38+75+2608.99</f>
        <v>116426.89000000003</v>
      </c>
      <c r="F24" s="121" t="s">
        <v>123</v>
      </c>
      <c r="G24" s="16"/>
    </row>
    <row r="25" spans="1:7" ht="15.75">
      <c r="A25" s="20"/>
      <c r="B25" s="99" t="s">
        <v>20</v>
      </c>
      <c r="C25" s="121"/>
      <c r="D25" s="124"/>
      <c r="E25" s="123">
        <f>133193.38-20000-2299-1724</f>
        <v>109170.38</v>
      </c>
      <c r="F25" s="121" t="s">
        <v>123</v>
      </c>
      <c r="G25" s="16"/>
    </row>
    <row r="26" spans="1:7" ht="15.75">
      <c r="A26" s="20"/>
      <c r="B26" s="99" t="s">
        <v>21</v>
      </c>
      <c r="C26" s="121"/>
      <c r="D26" s="124"/>
      <c r="E26" s="123">
        <f>106192.96-22138-2299</f>
        <v>81755.96</v>
      </c>
      <c r="F26" s="121"/>
      <c r="G26" s="16"/>
    </row>
    <row r="27" spans="1:7" ht="15.75">
      <c r="A27" s="20"/>
      <c r="B27" s="99" t="s">
        <v>22</v>
      </c>
      <c r="C27" s="121"/>
      <c r="D27" s="124"/>
      <c r="E27" s="123">
        <v>98375</v>
      </c>
      <c r="F27" s="121"/>
      <c r="G27" s="16"/>
    </row>
    <row r="28" spans="1:7" ht="15.75">
      <c r="A28" s="20"/>
      <c r="B28" s="99" t="s">
        <v>23</v>
      </c>
      <c r="C28" s="121"/>
      <c r="D28" s="124"/>
      <c r="E28" s="123">
        <v>144830.71</v>
      </c>
      <c r="F28" s="121" t="s">
        <v>256</v>
      </c>
      <c r="G28" s="16"/>
    </row>
    <row r="29" spans="1:6" ht="15.75">
      <c r="A29" s="20"/>
      <c r="B29" s="99" t="s">
        <v>30</v>
      </c>
      <c r="C29" s="121"/>
      <c r="D29" s="124"/>
      <c r="E29" s="123">
        <f>116869.12-2299-18560</f>
        <v>96010.12</v>
      </c>
      <c r="F29" s="121" t="s">
        <v>277</v>
      </c>
    </row>
    <row r="30" spans="1:8" ht="15.75">
      <c r="A30" s="17" t="s">
        <v>24</v>
      </c>
      <c r="B30" s="117" t="s">
        <v>25</v>
      </c>
      <c r="C30" s="118"/>
      <c r="D30" s="119">
        <v>120000</v>
      </c>
      <c r="E30" s="120">
        <f>SUM(E31:E42)</f>
        <v>72277</v>
      </c>
      <c r="F30" s="118">
        <f>D30-E30</f>
        <v>47723</v>
      </c>
      <c r="H30" s="9"/>
    </row>
    <row r="31" spans="1:6" ht="15.75">
      <c r="A31" s="20"/>
      <c r="B31" s="99" t="s">
        <v>13</v>
      </c>
      <c r="C31" s="121"/>
      <c r="D31" s="122"/>
      <c r="E31" s="123">
        <v>3000</v>
      </c>
      <c r="F31" s="100"/>
    </row>
    <row r="32" spans="1:6" ht="15.75">
      <c r="A32" s="20"/>
      <c r="B32" s="99" t="s">
        <v>14</v>
      </c>
      <c r="C32" s="121"/>
      <c r="D32" s="124"/>
      <c r="E32" s="123">
        <v>4500</v>
      </c>
      <c r="F32" s="121"/>
    </row>
    <row r="33" spans="1:8" ht="15.75">
      <c r="A33" s="20"/>
      <c r="B33" s="99" t="s">
        <v>15</v>
      </c>
      <c r="C33" s="121"/>
      <c r="D33" s="124"/>
      <c r="E33" s="125">
        <v>7250</v>
      </c>
      <c r="F33" s="121"/>
      <c r="H33" s="9"/>
    </row>
    <row r="34" spans="1:8" ht="15.75">
      <c r="A34" s="20"/>
      <c r="B34" s="99" t="s">
        <v>16</v>
      </c>
      <c r="C34" s="121"/>
      <c r="D34" s="124"/>
      <c r="E34" s="125">
        <v>2875</v>
      </c>
      <c r="F34" s="121"/>
      <c r="H34" s="9"/>
    </row>
    <row r="35" spans="1:8" ht="15.75">
      <c r="A35" s="20"/>
      <c r="B35" s="99" t="s">
        <v>17</v>
      </c>
      <c r="C35" s="121"/>
      <c r="D35" s="124"/>
      <c r="E35" s="123">
        <v>16092</v>
      </c>
      <c r="F35" s="121" t="s">
        <v>122</v>
      </c>
      <c r="H35" s="9"/>
    </row>
    <row r="36" spans="1:8" ht="15.75">
      <c r="A36" s="20"/>
      <c r="B36" s="99" t="s">
        <v>18</v>
      </c>
      <c r="C36" s="121"/>
      <c r="D36" s="124"/>
      <c r="E36" s="125"/>
      <c r="F36" s="121"/>
      <c r="H36" s="9"/>
    </row>
    <row r="37" spans="1:8" ht="15.75">
      <c r="A37" s="20"/>
      <c r="B37" s="99" t="s">
        <v>19</v>
      </c>
      <c r="C37" s="121"/>
      <c r="D37" s="124"/>
      <c r="E37" s="125"/>
      <c r="F37" s="121"/>
      <c r="H37" s="9"/>
    </row>
    <row r="38" spans="1:9" ht="15.75">
      <c r="A38" s="20"/>
      <c r="B38" s="99" t="s">
        <v>20</v>
      </c>
      <c r="C38" s="121"/>
      <c r="D38" s="124"/>
      <c r="E38" s="125">
        <f>19172.26+827.74</f>
        <v>20000</v>
      </c>
      <c r="F38" s="121"/>
      <c r="I38" s="9"/>
    </row>
    <row r="39" spans="1:8" ht="15.75">
      <c r="A39" s="20"/>
      <c r="B39" s="99" t="s">
        <v>21</v>
      </c>
      <c r="C39" s="121"/>
      <c r="D39" s="124"/>
      <c r="E39" s="123"/>
      <c r="F39" s="121"/>
      <c r="H39" s="9"/>
    </row>
    <row r="40" spans="1:8" ht="15.75">
      <c r="A40" s="20"/>
      <c r="B40" s="99" t="s">
        <v>22</v>
      </c>
      <c r="C40" s="121"/>
      <c r="D40" s="124"/>
      <c r="E40" s="123"/>
      <c r="F40" s="121"/>
      <c r="H40" s="9"/>
    </row>
    <row r="41" spans="1:8" ht="15.75">
      <c r="A41" s="20"/>
      <c r="B41" s="99" t="s">
        <v>23</v>
      </c>
      <c r="C41" s="121"/>
      <c r="D41" s="124"/>
      <c r="E41" s="123"/>
      <c r="F41" s="121"/>
      <c r="H41" s="9"/>
    </row>
    <row r="42" spans="1:8" ht="15.75">
      <c r="A42" s="20"/>
      <c r="B42" s="99" t="s">
        <v>26</v>
      </c>
      <c r="C42" s="121"/>
      <c r="D42" s="124"/>
      <c r="E42" s="123">
        <v>18560</v>
      </c>
      <c r="F42" s="121"/>
      <c r="H42" s="9"/>
    </row>
    <row r="43" spans="1:8" ht="31.5">
      <c r="A43" s="17" t="s">
        <v>27</v>
      </c>
      <c r="B43" s="126" t="s">
        <v>28</v>
      </c>
      <c r="C43" s="127"/>
      <c r="D43" s="119">
        <v>48000</v>
      </c>
      <c r="E43" s="120">
        <f>SUM(E44:E55)</f>
        <v>57845.14</v>
      </c>
      <c r="F43" s="118">
        <f>D43-E43</f>
        <v>-9845.14</v>
      </c>
      <c r="H43" s="9"/>
    </row>
    <row r="44" spans="1:6" ht="15.75">
      <c r="A44" s="20"/>
      <c r="B44" s="99" t="s">
        <v>13</v>
      </c>
      <c r="C44" s="121"/>
      <c r="D44" s="124"/>
      <c r="E44" s="123"/>
      <c r="F44" s="116"/>
    </row>
    <row r="45" spans="1:6" ht="15.75">
      <c r="A45" s="20"/>
      <c r="B45" s="99" t="s">
        <v>14</v>
      </c>
      <c r="C45" s="121"/>
      <c r="D45" s="124"/>
      <c r="E45" s="123">
        <f>14483</f>
        <v>14483</v>
      </c>
      <c r="F45" s="116" t="s">
        <v>159</v>
      </c>
    </row>
    <row r="46" spans="1:8" ht="15.75">
      <c r="A46" s="20"/>
      <c r="B46" s="99" t="s">
        <v>15</v>
      </c>
      <c r="C46" s="121"/>
      <c r="D46" s="124"/>
      <c r="E46" s="123"/>
      <c r="F46" s="116"/>
      <c r="H46" s="9"/>
    </row>
    <row r="47" spans="1:6" ht="15.75">
      <c r="A47" s="20"/>
      <c r="B47" s="99" t="s">
        <v>16</v>
      </c>
      <c r="C47" s="121"/>
      <c r="D47" s="124"/>
      <c r="E47" s="123">
        <f>16000+11500</f>
        <v>27500</v>
      </c>
      <c r="F47" s="128" t="s">
        <v>160</v>
      </c>
    </row>
    <row r="48" spans="1:6" ht="15.75">
      <c r="A48" s="20"/>
      <c r="B48" s="99" t="s">
        <v>17</v>
      </c>
      <c r="C48" s="121"/>
      <c r="D48" s="124"/>
      <c r="E48" s="123">
        <f>690</f>
        <v>690</v>
      </c>
      <c r="F48" s="116" t="s">
        <v>274</v>
      </c>
    </row>
    <row r="49" spans="1:6" ht="15.75">
      <c r="A49" s="20"/>
      <c r="B49" s="99" t="s">
        <v>18</v>
      </c>
      <c r="C49" s="121"/>
      <c r="D49" s="124"/>
      <c r="E49" s="125">
        <f>1724.14</f>
        <v>1724.14</v>
      </c>
      <c r="F49" s="116" t="s">
        <v>275</v>
      </c>
    </row>
    <row r="50" spans="1:6" ht="15.75">
      <c r="A50" s="20"/>
      <c r="B50" s="99" t="s">
        <v>19</v>
      </c>
      <c r="C50" s="121"/>
      <c r="D50" s="124"/>
      <c r="E50" s="125"/>
      <c r="F50" s="116"/>
    </row>
    <row r="51" spans="1:6" ht="15.75">
      <c r="A51" s="20"/>
      <c r="B51" s="99" t="s">
        <v>20</v>
      </c>
      <c r="C51" s="121"/>
      <c r="D51" s="124"/>
      <c r="E51" s="125"/>
      <c r="F51" s="116"/>
    </row>
    <row r="52" spans="1:6" ht="15.75">
      <c r="A52" s="20"/>
      <c r="B52" s="99" t="s">
        <v>21</v>
      </c>
      <c r="C52" s="121"/>
      <c r="D52" s="124"/>
      <c r="E52" s="123"/>
      <c r="F52" s="116"/>
    </row>
    <row r="53" spans="1:6" ht="31.5">
      <c r="A53" s="20"/>
      <c r="B53" s="99" t="s">
        <v>22</v>
      </c>
      <c r="C53" s="121"/>
      <c r="D53" s="124"/>
      <c r="E53" s="125">
        <f>11494+920+1034</f>
        <v>13448</v>
      </c>
      <c r="F53" s="128" t="s">
        <v>284</v>
      </c>
    </row>
    <row r="54" spans="1:6" ht="15.75">
      <c r="A54" s="20"/>
      <c r="B54" s="99" t="s">
        <v>23</v>
      </c>
      <c r="C54" s="121"/>
      <c r="D54" s="124"/>
      <c r="E54" s="123"/>
      <c r="F54" s="116"/>
    </row>
    <row r="55" spans="1:6" ht="15.75">
      <c r="A55" s="20"/>
      <c r="B55" s="99" t="s">
        <v>26</v>
      </c>
      <c r="C55" s="121"/>
      <c r="D55" s="124"/>
      <c r="E55" s="123"/>
      <c r="F55" s="116"/>
    </row>
    <row r="56" spans="1:6" ht="15.75">
      <c r="A56" s="17" t="s">
        <v>29</v>
      </c>
      <c r="B56" s="117" t="s">
        <v>125</v>
      </c>
      <c r="C56" s="118"/>
      <c r="D56" s="119">
        <v>294120</v>
      </c>
      <c r="E56" s="120">
        <f>SUM(E57:E68)</f>
        <v>281191.92</v>
      </c>
      <c r="F56" s="118">
        <f>D56-E56</f>
        <v>12928.080000000016</v>
      </c>
    </row>
    <row r="57" spans="1:6" ht="15.75">
      <c r="A57" s="20"/>
      <c r="B57" s="99" t="s">
        <v>13</v>
      </c>
      <c r="C57" s="121"/>
      <c r="D57" s="124"/>
      <c r="E57" s="123">
        <v>17606.54</v>
      </c>
      <c r="F57" s="121"/>
    </row>
    <row r="58" spans="1:6" ht="15.75">
      <c r="A58" s="20"/>
      <c r="B58" s="99" t="s">
        <v>14</v>
      </c>
      <c r="C58" s="121"/>
      <c r="D58" s="124"/>
      <c r="E58" s="123"/>
      <c r="F58" s="121"/>
    </row>
    <row r="59" spans="1:6" ht="15.75">
      <c r="A59" s="20"/>
      <c r="B59" s="99" t="s">
        <v>15</v>
      </c>
      <c r="C59" s="121"/>
      <c r="D59" s="124"/>
      <c r="E59" s="124">
        <v>20394.97</v>
      </c>
      <c r="F59" s="121"/>
    </row>
    <row r="60" spans="1:6" ht="15.75">
      <c r="A60" s="20"/>
      <c r="B60" s="99" t="s">
        <v>16</v>
      </c>
      <c r="C60" s="121"/>
      <c r="D60" s="124"/>
      <c r="E60" s="124">
        <v>18506.23</v>
      </c>
      <c r="F60" s="121"/>
    </row>
    <row r="61" spans="1:6" ht="15.75">
      <c r="A61" s="20"/>
      <c r="B61" s="99" t="s">
        <v>17</v>
      </c>
      <c r="C61" s="121"/>
      <c r="D61" s="124"/>
      <c r="E61" s="123">
        <v>27059.86</v>
      </c>
      <c r="F61" s="121"/>
    </row>
    <row r="62" spans="1:6" ht="15.75">
      <c r="A62" s="20"/>
      <c r="B62" s="99" t="s">
        <v>18</v>
      </c>
      <c r="C62" s="121"/>
      <c r="D62" s="124"/>
      <c r="E62" s="124">
        <v>31613.59</v>
      </c>
      <c r="F62" s="121"/>
    </row>
    <row r="63" spans="1:6" ht="15.75">
      <c r="A63" s="20"/>
      <c r="B63" s="99" t="s">
        <v>19</v>
      </c>
      <c r="C63" s="121"/>
      <c r="D63" s="124"/>
      <c r="E63" s="123">
        <v>45460.18</v>
      </c>
      <c r="F63" s="121"/>
    </row>
    <row r="64" spans="1:6" ht="15.75">
      <c r="A64" s="20"/>
      <c r="B64" s="99" t="s">
        <v>20</v>
      </c>
      <c r="C64" s="121"/>
      <c r="D64" s="129"/>
      <c r="E64" s="124">
        <v>26897</v>
      </c>
      <c r="F64" s="121"/>
    </row>
    <row r="65" spans="1:6" ht="15.75">
      <c r="A65" s="20"/>
      <c r="B65" s="99" t="s">
        <v>21</v>
      </c>
      <c r="C65" s="121"/>
      <c r="D65" s="124"/>
      <c r="E65" s="124">
        <v>21402.1</v>
      </c>
      <c r="F65" s="121"/>
    </row>
    <row r="66" spans="1:6" ht="15.75">
      <c r="A66" s="20"/>
      <c r="B66" s="99" t="s">
        <v>22</v>
      </c>
      <c r="C66" s="121"/>
      <c r="D66" s="124"/>
      <c r="E66" s="124">
        <f>26994.25-4432.9</f>
        <v>22561.35</v>
      </c>
      <c r="F66" s="121"/>
    </row>
    <row r="67" spans="1:6" ht="15.75">
      <c r="A67" s="20"/>
      <c r="B67" s="99" t="s">
        <v>23</v>
      </c>
      <c r="C67" s="121"/>
      <c r="D67" s="124"/>
      <c r="E67" s="124">
        <f>32020.91-4907.85</f>
        <v>27113.059999999998</v>
      </c>
      <c r="F67" s="121"/>
    </row>
    <row r="68" spans="1:6" ht="15.75">
      <c r="A68" s="20"/>
      <c r="B68" s="99" t="s">
        <v>30</v>
      </c>
      <c r="C68" s="121"/>
      <c r="D68" s="124"/>
      <c r="E68" s="124">
        <v>22577.04</v>
      </c>
      <c r="F68" s="121"/>
    </row>
    <row r="69" spans="1:6" ht="15.75">
      <c r="A69" s="17"/>
      <c r="B69" s="117" t="s">
        <v>31</v>
      </c>
      <c r="C69" s="118"/>
      <c r="D69" s="119">
        <v>70800</v>
      </c>
      <c r="E69" s="120">
        <f>SUM(E70:E71)</f>
        <v>49668</v>
      </c>
      <c r="F69" s="118">
        <f>D69-E69</f>
        <v>21132</v>
      </c>
    </row>
    <row r="70" spans="1:6" ht="15.75">
      <c r="A70" s="20"/>
      <c r="B70" s="99" t="s">
        <v>32</v>
      </c>
      <c r="C70" s="121"/>
      <c r="D70" s="124"/>
      <c r="E70" s="125">
        <v>41668</v>
      </c>
      <c r="F70" s="121" t="s">
        <v>161</v>
      </c>
    </row>
    <row r="71" spans="1:6" ht="15.75">
      <c r="A71" s="20"/>
      <c r="B71" s="99" t="s">
        <v>134</v>
      </c>
      <c r="C71" s="121"/>
      <c r="D71" s="124"/>
      <c r="E71" s="125">
        <v>8000</v>
      </c>
      <c r="F71" s="121"/>
    </row>
    <row r="72" spans="1:6" ht="15.75">
      <c r="A72" s="17" t="s">
        <v>33</v>
      </c>
      <c r="B72" s="117" t="s">
        <v>34</v>
      </c>
      <c r="C72" s="118"/>
      <c r="D72" s="119">
        <v>24000</v>
      </c>
      <c r="E72" s="120">
        <f>SUM(E73:E84)</f>
        <v>13591.240000000002</v>
      </c>
      <c r="F72" s="118">
        <f>D72-E72</f>
        <v>10408.759999999998</v>
      </c>
    </row>
    <row r="73" spans="1:6" ht="15.75">
      <c r="A73" s="20"/>
      <c r="B73" s="99" t="s">
        <v>13</v>
      </c>
      <c r="C73" s="121"/>
      <c r="D73" s="124"/>
      <c r="E73" s="123">
        <v>763.69</v>
      </c>
      <c r="F73" s="121"/>
    </row>
    <row r="74" spans="1:6" ht="15.75">
      <c r="A74" s="20"/>
      <c r="B74" s="99" t="s">
        <v>14</v>
      </c>
      <c r="C74" s="121"/>
      <c r="D74" s="124"/>
      <c r="E74" s="123">
        <v>757.8</v>
      </c>
      <c r="F74" s="121"/>
    </row>
    <row r="75" spans="1:6" ht="15.75">
      <c r="A75" s="20"/>
      <c r="B75" s="99" t="s">
        <v>15</v>
      </c>
      <c r="C75" s="121"/>
      <c r="D75" s="124"/>
      <c r="E75" s="130">
        <v>819.15</v>
      </c>
      <c r="F75" s="121"/>
    </row>
    <row r="76" spans="1:6" ht="15.75">
      <c r="A76" s="20"/>
      <c r="B76" s="99" t="s">
        <v>16</v>
      </c>
      <c r="C76" s="121"/>
      <c r="D76" s="124"/>
      <c r="E76" s="130">
        <v>800.83</v>
      </c>
      <c r="F76" s="121"/>
    </row>
    <row r="77" spans="1:6" ht="15.75">
      <c r="A77" s="20"/>
      <c r="B77" s="99" t="s">
        <v>17</v>
      </c>
      <c r="C77" s="121"/>
      <c r="D77" s="124"/>
      <c r="E77" s="124">
        <v>1732.74</v>
      </c>
      <c r="F77" s="121"/>
    </row>
    <row r="78" spans="1:6" ht="15.75">
      <c r="A78" s="20"/>
      <c r="B78" s="99" t="s">
        <v>18</v>
      </c>
      <c r="C78" s="121"/>
      <c r="D78" s="124"/>
      <c r="E78" s="124">
        <v>969.98</v>
      </c>
      <c r="F78" s="121"/>
    </row>
    <row r="79" spans="1:6" ht="15.75">
      <c r="A79" s="20"/>
      <c r="B79" s="99" t="s">
        <v>19</v>
      </c>
      <c r="C79" s="121"/>
      <c r="D79" s="124"/>
      <c r="E79" s="124">
        <v>144.39</v>
      </c>
      <c r="F79" s="121"/>
    </row>
    <row r="80" spans="1:6" ht="15.75">
      <c r="A80" s="20"/>
      <c r="B80" s="99" t="s">
        <v>20</v>
      </c>
      <c r="C80" s="121"/>
      <c r="D80" s="124"/>
      <c r="E80" s="124">
        <f>68.27+120+30+100+274.46+500</f>
        <v>1092.73</v>
      </c>
      <c r="F80" s="121"/>
    </row>
    <row r="81" spans="1:6" ht="15.75">
      <c r="A81" s="20"/>
      <c r="B81" s="99" t="s">
        <v>21</v>
      </c>
      <c r="C81" s="121"/>
      <c r="D81" s="129"/>
      <c r="E81" s="124">
        <f>90+30+37.8+100+234.45+500</f>
        <v>992.25</v>
      </c>
      <c r="F81" s="121"/>
    </row>
    <row r="82" spans="1:6" ht="15.75">
      <c r="A82" s="20"/>
      <c r="B82" s="99" t="s">
        <v>22</v>
      </c>
      <c r="C82" s="121"/>
      <c r="D82" s="124"/>
      <c r="E82" s="124">
        <f>100+90+30+2000+200+292.95+500</f>
        <v>3212.95</v>
      </c>
      <c r="F82" s="121"/>
    </row>
    <row r="83" spans="1:6" ht="15.75">
      <c r="A83" s="20"/>
      <c r="B83" s="99" t="s">
        <v>23</v>
      </c>
      <c r="C83" s="121"/>
      <c r="D83" s="124"/>
      <c r="E83" s="124">
        <f>30+29.64+30+90+100+321.78+500+30</f>
        <v>1131.42</v>
      </c>
      <c r="F83" s="121"/>
    </row>
    <row r="84" spans="1:6" ht="15.75">
      <c r="A84" s="20"/>
      <c r="B84" s="99" t="s">
        <v>30</v>
      </c>
      <c r="C84" s="121"/>
      <c r="D84" s="124"/>
      <c r="E84" s="124">
        <v>1173.31</v>
      </c>
      <c r="F84" s="121"/>
    </row>
    <row r="85" spans="1:6" ht="15.75">
      <c r="A85" s="17" t="s">
        <v>35</v>
      </c>
      <c r="B85" s="117" t="s">
        <v>36</v>
      </c>
      <c r="C85" s="118"/>
      <c r="D85" s="119">
        <v>9600</v>
      </c>
      <c r="E85" s="119">
        <f>SUM(E86:E117)</f>
        <v>9721.41</v>
      </c>
      <c r="F85" s="118">
        <f>D85-E85</f>
        <v>-121.40999999999985</v>
      </c>
    </row>
    <row r="86" spans="1:6" ht="15.75">
      <c r="A86" s="20"/>
      <c r="B86" s="99" t="s">
        <v>37</v>
      </c>
      <c r="C86" s="121"/>
      <c r="D86" s="124"/>
      <c r="E86" s="124">
        <v>425.22</v>
      </c>
      <c r="F86" s="121"/>
    </row>
    <row r="87" spans="1:6" ht="15.75">
      <c r="A87" s="20"/>
      <c r="B87" s="99" t="s">
        <v>117</v>
      </c>
      <c r="C87" s="121"/>
      <c r="D87" s="124"/>
      <c r="E87" s="124">
        <v>220</v>
      </c>
      <c r="F87" s="121"/>
    </row>
    <row r="88" spans="1:6" ht="15.75">
      <c r="A88" s="20"/>
      <c r="B88" s="99" t="s">
        <v>38</v>
      </c>
      <c r="C88" s="121"/>
      <c r="D88" s="124"/>
      <c r="E88" s="130">
        <v>407.6</v>
      </c>
      <c r="F88" s="121"/>
    </row>
    <row r="89" spans="1:6" ht="15.75">
      <c r="A89" s="20"/>
      <c r="B89" s="99" t="s">
        <v>39</v>
      </c>
      <c r="C89" s="121"/>
      <c r="D89" s="124"/>
      <c r="E89" s="130">
        <v>100</v>
      </c>
      <c r="F89" s="121"/>
    </row>
    <row r="90" spans="1:6" ht="15.75">
      <c r="A90" s="20"/>
      <c r="B90" s="99" t="s">
        <v>40</v>
      </c>
      <c r="C90" s="121"/>
      <c r="D90" s="124"/>
      <c r="E90" s="124">
        <v>456.01</v>
      </c>
      <c r="F90" s="121"/>
    </row>
    <row r="91" spans="1:6" ht="15.75">
      <c r="A91" s="20"/>
      <c r="B91" s="99" t="s">
        <v>41</v>
      </c>
      <c r="C91" s="121"/>
      <c r="D91" s="124"/>
      <c r="E91" s="130">
        <v>200</v>
      </c>
      <c r="F91" s="121"/>
    </row>
    <row r="92" spans="1:8" ht="15.75">
      <c r="A92" s="20"/>
      <c r="B92" s="99" t="s">
        <v>42</v>
      </c>
      <c r="C92" s="121"/>
      <c r="D92" s="131"/>
      <c r="E92" s="124">
        <v>467.43</v>
      </c>
      <c r="F92" s="121"/>
      <c r="H92" s="9"/>
    </row>
    <row r="93" spans="1:8" ht="15.75">
      <c r="A93" s="20"/>
      <c r="B93" s="99" t="s">
        <v>149</v>
      </c>
      <c r="C93" s="121"/>
      <c r="D93" s="129"/>
      <c r="E93" s="124">
        <v>100</v>
      </c>
      <c r="F93" s="121"/>
      <c r="H93" s="9"/>
    </row>
    <row r="94" spans="1:6" ht="15.75">
      <c r="A94" s="20"/>
      <c r="B94" s="99" t="s">
        <v>43</v>
      </c>
      <c r="C94" s="121"/>
      <c r="D94" s="124"/>
      <c r="E94" s="130">
        <v>100</v>
      </c>
      <c r="F94" s="121"/>
    </row>
    <row r="95" spans="1:6" ht="15.75">
      <c r="A95" s="20"/>
      <c r="B95" s="99" t="s">
        <v>44</v>
      </c>
      <c r="C95" s="121"/>
      <c r="D95" s="124"/>
      <c r="E95" s="130">
        <v>600</v>
      </c>
      <c r="F95" s="121"/>
    </row>
    <row r="96" spans="1:6" ht="15.75">
      <c r="A96" s="20"/>
      <c r="B96" s="99" t="s">
        <v>45</v>
      </c>
      <c r="C96" s="121"/>
      <c r="D96" s="129"/>
      <c r="E96" s="124">
        <v>287.97</v>
      </c>
      <c r="F96" s="121"/>
    </row>
    <row r="97" spans="1:6" ht="15.75">
      <c r="A97" s="20"/>
      <c r="B97" s="99" t="s">
        <v>46</v>
      </c>
      <c r="C97" s="121"/>
      <c r="D97" s="124"/>
      <c r="E97" s="130"/>
      <c r="F97" s="121"/>
    </row>
    <row r="98" spans="1:6" ht="15.75">
      <c r="A98" s="20"/>
      <c r="B98" s="99" t="s">
        <v>127</v>
      </c>
      <c r="C98" s="121"/>
      <c r="D98" s="124"/>
      <c r="E98" s="130">
        <v>472.45</v>
      </c>
      <c r="F98" s="121"/>
    </row>
    <row r="99" spans="1:6" ht="15.75">
      <c r="A99" s="20"/>
      <c r="B99" s="99" t="s">
        <v>47</v>
      </c>
      <c r="C99" s="121"/>
      <c r="D99" s="124"/>
      <c r="E99" s="130">
        <v>100</v>
      </c>
      <c r="F99" s="121"/>
    </row>
    <row r="100" spans="1:6" ht="15.75">
      <c r="A100" s="20"/>
      <c r="B100" s="99" t="s">
        <v>48</v>
      </c>
      <c r="C100" s="121"/>
      <c r="D100" s="129"/>
      <c r="E100" s="124">
        <f>7.84+445.54</f>
        <v>453.38</v>
      </c>
      <c r="F100" s="121"/>
    </row>
    <row r="101" spans="1:6" ht="15.75">
      <c r="A101" s="20"/>
      <c r="B101" s="99" t="s">
        <v>49</v>
      </c>
      <c r="C101" s="121"/>
      <c r="D101" s="124"/>
      <c r="E101" s="130">
        <v>100</v>
      </c>
      <c r="F101" s="121"/>
    </row>
    <row r="102" spans="1:6" ht="15.75">
      <c r="A102" s="20"/>
      <c r="B102" s="99" t="s">
        <v>257</v>
      </c>
      <c r="C102" s="121"/>
      <c r="D102" s="124"/>
      <c r="E102" s="130">
        <v>479.62</v>
      </c>
      <c r="F102" s="121"/>
    </row>
    <row r="103" spans="1:6" ht="15.75">
      <c r="A103" s="20"/>
      <c r="B103" s="99" t="s">
        <v>259</v>
      </c>
      <c r="C103" s="121"/>
      <c r="D103" s="124"/>
      <c r="E103" s="132">
        <v>100</v>
      </c>
      <c r="F103" s="121"/>
    </row>
    <row r="104" spans="1:6" ht="15.75">
      <c r="A104" s="20"/>
      <c r="B104" s="99" t="s">
        <v>50</v>
      </c>
      <c r="C104" s="121"/>
      <c r="D104" s="124"/>
      <c r="E104" s="133">
        <v>350</v>
      </c>
      <c r="F104" s="121"/>
    </row>
    <row r="105" spans="1:6" ht="15.75">
      <c r="A105" s="20"/>
      <c r="B105" s="99" t="s">
        <v>51</v>
      </c>
      <c r="C105" s="121"/>
      <c r="D105" s="124"/>
      <c r="E105" s="134">
        <v>428.5</v>
      </c>
      <c r="F105" s="121"/>
    </row>
    <row r="106" spans="1:7" ht="15.75">
      <c r="A106" s="20"/>
      <c r="B106" s="99" t="s">
        <v>52</v>
      </c>
      <c r="C106" s="121"/>
      <c r="D106" s="124"/>
      <c r="E106" s="130"/>
      <c r="F106" s="121"/>
      <c r="G106" s="16"/>
    </row>
    <row r="107" spans="1:6" ht="15.75">
      <c r="A107" s="20"/>
      <c r="B107" s="99" t="s">
        <v>53</v>
      </c>
      <c r="C107" s="121"/>
      <c r="D107" s="129"/>
      <c r="E107" s="124">
        <v>1000</v>
      </c>
      <c r="F107" s="121"/>
    </row>
    <row r="108" spans="1:6" ht="15.75">
      <c r="A108" s="20"/>
      <c r="B108" s="99" t="s">
        <v>54</v>
      </c>
      <c r="C108" s="121"/>
      <c r="D108" s="124"/>
      <c r="E108" s="130"/>
      <c r="F108" s="121"/>
    </row>
    <row r="109" spans="1:6" ht="15.75">
      <c r="A109" s="20"/>
      <c r="B109" s="99" t="s">
        <v>260</v>
      </c>
      <c r="C109" s="121"/>
      <c r="D109" s="124"/>
      <c r="E109" s="130">
        <f>100+100</f>
        <v>200</v>
      </c>
      <c r="F109" s="121"/>
    </row>
    <row r="110" spans="1:6" ht="15.75">
      <c r="A110" s="20"/>
      <c r="B110" s="135" t="s">
        <v>118</v>
      </c>
      <c r="C110" s="121"/>
      <c r="D110" s="124"/>
      <c r="E110" s="130"/>
      <c r="F110" s="121"/>
    </row>
    <row r="111" spans="1:6" ht="15.75">
      <c r="A111" s="20"/>
      <c r="B111" s="99" t="s">
        <v>13</v>
      </c>
      <c r="C111" s="121"/>
      <c r="D111" s="124"/>
      <c r="E111" s="124">
        <f>165+33.5+15</f>
        <v>213.5</v>
      </c>
      <c r="F111" s="121"/>
    </row>
    <row r="112" spans="1:6" ht="15.75">
      <c r="A112" s="20"/>
      <c r="B112" s="99" t="s">
        <v>14</v>
      </c>
      <c r="C112" s="121"/>
      <c r="D112" s="124"/>
      <c r="E112" s="124"/>
      <c r="F112" s="121"/>
    </row>
    <row r="113" spans="1:6" ht="15.75">
      <c r="A113" s="20"/>
      <c r="B113" s="99" t="s">
        <v>15</v>
      </c>
      <c r="C113" s="121"/>
      <c r="D113" s="124"/>
      <c r="E113" s="124"/>
      <c r="F113" s="121"/>
    </row>
    <row r="114" spans="1:6" ht="15.75">
      <c r="A114" s="20"/>
      <c r="B114" s="99" t="s">
        <v>16</v>
      </c>
      <c r="C114" s="121"/>
      <c r="D114" s="124"/>
      <c r="E114" s="124">
        <f>138.84+138.84+180</f>
        <v>457.68</v>
      </c>
      <c r="F114" s="121"/>
    </row>
    <row r="115" spans="1:6" ht="15.75">
      <c r="A115" s="20"/>
      <c r="B115" s="99" t="s">
        <v>17</v>
      </c>
      <c r="C115" s="121"/>
      <c r="D115" s="124"/>
      <c r="E115" s="124">
        <f>18.5+648</f>
        <v>666.5</v>
      </c>
      <c r="F115" s="121"/>
    </row>
    <row r="116" spans="1:6" ht="15.75">
      <c r="A116" s="20"/>
      <c r="B116" s="99" t="s">
        <v>20</v>
      </c>
      <c r="C116" s="121"/>
      <c r="D116" s="124"/>
      <c r="E116" s="124">
        <v>248.05</v>
      </c>
      <c r="F116" s="121"/>
    </row>
    <row r="117" spans="1:6" ht="15.75">
      <c r="A117" s="20"/>
      <c r="B117" s="99" t="s">
        <v>30</v>
      </c>
      <c r="C117" s="121"/>
      <c r="D117" s="124"/>
      <c r="E117" s="124">
        <f>120.5+967</f>
        <v>1087.5</v>
      </c>
      <c r="F117" s="121"/>
    </row>
    <row r="118" spans="1:6" ht="15.75">
      <c r="A118" s="17" t="s">
        <v>55</v>
      </c>
      <c r="B118" s="117" t="s">
        <v>56</v>
      </c>
      <c r="C118" s="118"/>
      <c r="D118" s="119">
        <v>96000</v>
      </c>
      <c r="E118" s="119">
        <f>SUM(E119:E130)</f>
        <v>118611.99999999999</v>
      </c>
      <c r="F118" s="118">
        <f>D118-E118</f>
        <v>-22611.999999999985</v>
      </c>
    </row>
    <row r="119" spans="1:6" ht="15.75">
      <c r="A119" s="20"/>
      <c r="B119" s="99" t="s">
        <v>13</v>
      </c>
      <c r="C119" s="121"/>
      <c r="D119" s="124"/>
      <c r="E119" s="130">
        <v>7049.84</v>
      </c>
      <c r="F119" s="121"/>
    </row>
    <row r="120" spans="1:6" ht="15.75">
      <c r="A120" s="20"/>
      <c r="B120" s="99" t="s">
        <v>14</v>
      </c>
      <c r="C120" s="121"/>
      <c r="D120" s="124"/>
      <c r="E120" s="130">
        <v>23205.18</v>
      </c>
      <c r="F120" s="121"/>
    </row>
    <row r="121" spans="1:6" ht="15.75">
      <c r="A121" s="20"/>
      <c r="B121" s="99" t="s">
        <v>15</v>
      </c>
      <c r="C121" s="121"/>
      <c r="D121" s="124"/>
      <c r="E121" s="130">
        <v>7805.18</v>
      </c>
      <c r="F121" s="121"/>
    </row>
    <row r="122" spans="1:7" ht="15.75">
      <c r="A122" s="20"/>
      <c r="B122" s="99" t="s">
        <v>16</v>
      </c>
      <c r="C122" s="121"/>
      <c r="D122" s="124"/>
      <c r="E122" s="130">
        <v>7805.18</v>
      </c>
      <c r="F122" s="121"/>
      <c r="G122" s="16"/>
    </row>
    <row r="123" spans="1:7" ht="15.75">
      <c r="A123" s="20"/>
      <c r="B123" s="99" t="s">
        <v>17</v>
      </c>
      <c r="C123" s="121"/>
      <c r="D123" s="131"/>
      <c r="E123" s="130"/>
      <c r="F123" s="121"/>
      <c r="G123" s="16"/>
    </row>
    <row r="124" spans="1:7" ht="15.75">
      <c r="A124" s="20"/>
      <c r="B124" s="99" t="s">
        <v>18</v>
      </c>
      <c r="C124" s="121"/>
      <c r="D124" s="129"/>
      <c r="E124" s="130">
        <v>7805.18</v>
      </c>
      <c r="F124" s="121"/>
      <c r="G124" s="16"/>
    </row>
    <row r="125" spans="1:7" ht="15.75">
      <c r="A125" s="20"/>
      <c r="B125" s="99" t="s">
        <v>19</v>
      </c>
      <c r="C125" s="121"/>
      <c r="D125" s="124"/>
      <c r="E125" s="130"/>
      <c r="F125" s="121"/>
      <c r="G125" s="16"/>
    </row>
    <row r="126" spans="1:7" ht="15.75">
      <c r="A126" s="20"/>
      <c r="B126" s="99" t="s">
        <v>20</v>
      </c>
      <c r="C126" s="121"/>
      <c r="D126" s="124"/>
      <c r="E126" s="130">
        <f>7805.18+15610.36</f>
        <v>23415.54</v>
      </c>
      <c r="F126" s="121"/>
      <c r="G126" s="16"/>
    </row>
    <row r="127" spans="1:6" ht="15.75">
      <c r="A127" s="20"/>
      <c r="B127" s="99" t="s">
        <v>21</v>
      </c>
      <c r="C127" s="121"/>
      <c r="D127" s="124"/>
      <c r="E127" s="130">
        <v>7805.18</v>
      </c>
      <c r="F127" s="121"/>
    </row>
    <row r="128" spans="1:6" ht="15.75">
      <c r="A128" s="20"/>
      <c r="B128" s="99" t="s">
        <v>22</v>
      </c>
      <c r="C128" s="121"/>
      <c r="D128" s="124"/>
      <c r="E128" s="124">
        <v>7805.18</v>
      </c>
      <c r="F128" s="121"/>
    </row>
    <row r="129" spans="1:6" ht="15.75">
      <c r="A129" s="20"/>
      <c r="B129" s="99" t="s">
        <v>23</v>
      </c>
      <c r="C129" s="121"/>
      <c r="D129" s="124"/>
      <c r="E129" s="130">
        <f>1250+7805.18</f>
        <v>9055.18</v>
      </c>
      <c r="F129" s="121"/>
    </row>
    <row r="130" spans="1:6" ht="15.75">
      <c r="A130" s="20"/>
      <c r="B130" s="99" t="s">
        <v>30</v>
      </c>
      <c r="C130" s="121"/>
      <c r="D130" s="124"/>
      <c r="E130" s="130">
        <f>1250+15610.36</f>
        <v>16860.36</v>
      </c>
      <c r="F130" s="121"/>
    </row>
    <row r="131" spans="1:6" ht="15.75">
      <c r="A131" s="25" t="s">
        <v>57</v>
      </c>
      <c r="B131" s="117" t="s">
        <v>58</v>
      </c>
      <c r="C131" s="118"/>
      <c r="D131" s="119">
        <v>42000</v>
      </c>
      <c r="E131" s="119">
        <f>SUM(E132:E143)</f>
        <v>18705.56</v>
      </c>
      <c r="F131" s="118">
        <f>D131-E131</f>
        <v>23294.44</v>
      </c>
    </row>
    <row r="132" spans="1:6" ht="15.75">
      <c r="A132" s="20"/>
      <c r="B132" s="99" t="s">
        <v>13</v>
      </c>
      <c r="C132" s="121"/>
      <c r="D132" s="114"/>
      <c r="E132" s="114">
        <f>67.5+1480.3+70</f>
        <v>1617.8</v>
      </c>
      <c r="F132" s="116" t="s">
        <v>135</v>
      </c>
    </row>
    <row r="133" spans="1:6" ht="15.75">
      <c r="A133" s="20"/>
      <c r="B133" s="99" t="s">
        <v>14</v>
      </c>
      <c r="C133" s="121"/>
      <c r="D133" s="136"/>
      <c r="E133" s="136">
        <f>134.4+39.2+120+241.5+68.4+165.6</f>
        <v>769.1</v>
      </c>
      <c r="F133" s="128" t="s">
        <v>142</v>
      </c>
    </row>
    <row r="134" spans="1:7" ht="15.75">
      <c r="A134" s="20"/>
      <c r="B134" s="99" t="s">
        <v>15</v>
      </c>
      <c r="C134" s="121"/>
      <c r="D134" s="136"/>
      <c r="E134" s="136">
        <f>70</f>
        <v>70</v>
      </c>
      <c r="F134" s="128" t="s">
        <v>144</v>
      </c>
      <c r="G134" s="16"/>
    </row>
    <row r="135" spans="1:7" ht="15.75">
      <c r="A135" s="20"/>
      <c r="B135" s="99" t="s">
        <v>16</v>
      </c>
      <c r="C135" s="121"/>
      <c r="D135" s="114"/>
      <c r="E135" s="114">
        <f>70+255+170+109.9</f>
        <v>604.9</v>
      </c>
      <c r="F135" s="128" t="s">
        <v>151</v>
      </c>
      <c r="G135" s="16"/>
    </row>
    <row r="136" spans="1:8" ht="31.5">
      <c r="A136" s="20"/>
      <c r="B136" s="99" t="s">
        <v>17</v>
      </c>
      <c r="C136" s="121"/>
      <c r="D136" s="136"/>
      <c r="E136" s="136">
        <f>176.3+100+150+221.7+81.4+56.3+160.5+1975+300+3124.8</f>
        <v>6346</v>
      </c>
      <c r="F136" s="128" t="s">
        <v>153</v>
      </c>
      <c r="G136" s="16"/>
      <c r="H136" s="16"/>
    </row>
    <row r="137" spans="1:7" ht="15.75">
      <c r="A137" s="20"/>
      <c r="B137" s="99" t="s">
        <v>18</v>
      </c>
      <c r="C137" s="121"/>
      <c r="D137" s="114"/>
      <c r="E137" s="114"/>
      <c r="F137" s="116"/>
      <c r="G137" s="16"/>
    </row>
    <row r="138" spans="1:7" ht="15.75">
      <c r="A138" s="20"/>
      <c r="B138" s="99" t="s">
        <v>19</v>
      </c>
      <c r="C138" s="121"/>
      <c r="D138" s="114"/>
      <c r="E138" s="114"/>
      <c r="F138" s="116"/>
      <c r="G138" s="16"/>
    </row>
    <row r="139" spans="1:7" ht="15.75">
      <c r="A139" s="20"/>
      <c r="B139" s="99" t="s">
        <v>20</v>
      </c>
      <c r="C139" s="121"/>
      <c r="D139" s="114"/>
      <c r="E139" s="114">
        <f>5853.42+158.85+100+334.09</f>
        <v>6446.360000000001</v>
      </c>
      <c r="F139" s="128" t="s">
        <v>264</v>
      </c>
      <c r="G139" s="16"/>
    </row>
    <row r="140" spans="1:6" ht="15.75">
      <c r="A140" s="20"/>
      <c r="B140" s="99" t="s">
        <v>21</v>
      </c>
      <c r="C140" s="121"/>
      <c r="D140" s="114"/>
      <c r="E140" s="114">
        <f>113.3+87</f>
        <v>200.3</v>
      </c>
      <c r="F140" s="128" t="s">
        <v>261</v>
      </c>
    </row>
    <row r="141" spans="1:7" ht="15.75">
      <c r="A141" s="20"/>
      <c r="B141" s="99" t="s">
        <v>22</v>
      </c>
      <c r="C141" s="121"/>
      <c r="D141" s="114"/>
      <c r="E141" s="114">
        <v>300</v>
      </c>
      <c r="F141" s="128" t="s">
        <v>174</v>
      </c>
      <c r="G141" s="16"/>
    </row>
    <row r="142" spans="1:6" ht="15.75">
      <c r="A142" s="20"/>
      <c r="B142" s="99" t="s">
        <v>23</v>
      </c>
      <c r="C142" s="121"/>
      <c r="D142" s="114"/>
      <c r="E142" s="114">
        <f>63+102.5+490.4+52</f>
        <v>707.9</v>
      </c>
      <c r="F142" s="128" t="s">
        <v>262</v>
      </c>
    </row>
    <row r="143" spans="1:6" ht="15.75">
      <c r="A143" s="20"/>
      <c r="B143" s="99" t="s">
        <v>30</v>
      </c>
      <c r="C143" s="121"/>
      <c r="D143" s="114"/>
      <c r="E143" s="114">
        <f>1385+258.2</f>
        <v>1643.2</v>
      </c>
      <c r="F143" s="128" t="s">
        <v>263</v>
      </c>
    </row>
    <row r="144" spans="1:6" ht="15.75">
      <c r="A144" s="25" t="s">
        <v>59</v>
      </c>
      <c r="B144" s="117" t="s">
        <v>60</v>
      </c>
      <c r="C144" s="118"/>
      <c r="D144" s="137">
        <v>24000</v>
      </c>
      <c r="E144" s="137">
        <f>SUM(E145:E156)</f>
        <v>11790</v>
      </c>
      <c r="F144" s="138">
        <f>D144-E144</f>
        <v>12210</v>
      </c>
    </row>
    <row r="145" spans="1:6" ht="15.75">
      <c r="A145" s="20"/>
      <c r="B145" s="99" t="s">
        <v>13</v>
      </c>
      <c r="C145" s="121"/>
      <c r="D145" s="114"/>
      <c r="E145" s="114">
        <f>137.9+245.9</f>
        <v>383.8</v>
      </c>
      <c r="F145" s="128" t="s">
        <v>136</v>
      </c>
    </row>
    <row r="146" spans="1:6" ht="15.75">
      <c r="A146" s="20"/>
      <c r="B146" s="99" t="s">
        <v>14</v>
      </c>
      <c r="C146" s="121"/>
      <c r="D146" s="114"/>
      <c r="E146" s="114">
        <f>136+57.8+62</f>
        <v>255.8</v>
      </c>
      <c r="F146" s="128" t="s">
        <v>137</v>
      </c>
    </row>
    <row r="147" spans="1:6" ht="15.75">
      <c r="A147" s="20"/>
      <c r="B147" s="99" t="s">
        <v>15</v>
      </c>
      <c r="C147" s="121"/>
      <c r="D147" s="136"/>
      <c r="E147" s="136">
        <f>200+204.5</f>
        <v>404.5</v>
      </c>
      <c r="F147" s="128" t="s">
        <v>145</v>
      </c>
    </row>
    <row r="148" spans="1:6" ht="15.75">
      <c r="A148" s="20"/>
      <c r="B148" s="99" t="s">
        <v>16</v>
      </c>
      <c r="C148" s="121"/>
      <c r="D148" s="114"/>
      <c r="E148" s="114">
        <f>16.5+1200</f>
        <v>1216.5</v>
      </c>
      <c r="F148" s="128" t="s">
        <v>148</v>
      </c>
    </row>
    <row r="149" spans="1:6" ht="31.5">
      <c r="A149" s="20"/>
      <c r="B149" s="99" t="s">
        <v>17</v>
      </c>
      <c r="C149" s="121"/>
      <c r="D149" s="114"/>
      <c r="E149" s="114">
        <f>100+308.6+820</f>
        <v>1228.6</v>
      </c>
      <c r="F149" s="128" t="s">
        <v>152</v>
      </c>
    </row>
    <row r="150" spans="1:7" ht="15.75">
      <c r="A150" s="20"/>
      <c r="B150" s="99" t="s">
        <v>18</v>
      </c>
      <c r="C150" s="121"/>
      <c r="D150" s="114"/>
      <c r="E150" s="114">
        <v>149</v>
      </c>
      <c r="F150" s="128" t="s">
        <v>61</v>
      </c>
      <c r="G150" s="16"/>
    </row>
    <row r="151" spans="1:7" ht="15.75">
      <c r="A151" s="20"/>
      <c r="B151" s="99" t="s">
        <v>19</v>
      </c>
      <c r="C151" s="121"/>
      <c r="D151" s="114"/>
      <c r="E151" s="114">
        <f>397.6+435+74</f>
        <v>906.6</v>
      </c>
      <c r="F151" s="128" t="s">
        <v>121</v>
      </c>
      <c r="G151" s="16"/>
    </row>
    <row r="152" spans="1:6" ht="15.75">
      <c r="A152" s="20"/>
      <c r="B152" s="99" t="s">
        <v>20</v>
      </c>
      <c r="C152" s="121"/>
      <c r="D152" s="114"/>
      <c r="E152" s="114">
        <f>91.3+372+210</f>
        <v>673.3</v>
      </c>
      <c r="F152" s="128" t="s">
        <v>265</v>
      </c>
    </row>
    <row r="153" spans="1:7" ht="15.75">
      <c r="A153" s="20"/>
      <c r="B153" s="99" t="s">
        <v>21</v>
      </c>
      <c r="C153" s="121"/>
      <c r="D153" s="114"/>
      <c r="E153" s="114">
        <v>17.4</v>
      </c>
      <c r="F153" s="128" t="s">
        <v>227</v>
      </c>
      <c r="G153" s="16"/>
    </row>
    <row r="154" spans="1:6" ht="47.25">
      <c r="A154" s="20"/>
      <c r="B154" s="99" t="s">
        <v>22</v>
      </c>
      <c r="C154" s="121"/>
      <c r="D154" s="114"/>
      <c r="E154" s="114">
        <f>2750+182.2+150+32+1030</f>
        <v>4144.2</v>
      </c>
      <c r="F154" s="128" t="s">
        <v>266</v>
      </c>
    </row>
    <row r="155" spans="1:7" ht="15.75">
      <c r="A155" s="20"/>
      <c r="B155" s="99" t="s">
        <v>23</v>
      </c>
      <c r="C155" s="121"/>
      <c r="D155" s="114"/>
      <c r="E155" s="114">
        <f>57</f>
        <v>57</v>
      </c>
      <c r="F155" s="128" t="s">
        <v>242</v>
      </c>
      <c r="G155" s="16"/>
    </row>
    <row r="156" spans="1:7" ht="15.75">
      <c r="A156" s="20"/>
      <c r="B156" s="99" t="s">
        <v>30</v>
      </c>
      <c r="C156" s="121"/>
      <c r="D156" s="114"/>
      <c r="E156" s="114">
        <f>153.3+2200</f>
        <v>2353.3</v>
      </c>
      <c r="F156" s="128" t="s">
        <v>279</v>
      </c>
      <c r="G156" s="16"/>
    </row>
    <row r="157" spans="1:6" ht="15.75">
      <c r="A157" s="25" t="s">
        <v>62</v>
      </c>
      <c r="B157" s="117" t="s">
        <v>63</v>
      </c>
      <c r="C157" s="118"/>
      <c r="D157" s="137">
        <v>9000</v>
      </c>
      <c r="E157" s="137">
        <f>2299+2299+2299+2299</f>
        <v>9196</v>
      </c>
      <c r="F157" s="137">
        <f>D157-E157</f>
        <v>-196</v>
      </c>
    </row>
    <row r="158" spans="1:6" ht="15.75">
      <c r="A158" s="25" t="s">
        <v>64</v>
      </c>
      <c r="B158" s="117" t="s">
        <v>65</v>
      </c>
      <c r="C158" s="118"/>
      <c r="D158" s="137">
        <v>12000</v>
      </c>
      <c r="E158" s="137"/>
      <c r="F158" s="137">
        <f>D158-E158</f>
        <v>12000</v>
      </c>
    </row>
    <row r="159" spans="1:6" ht="15.75">
      <c r="A159" s="25" t="s">
        <v>66</v>
      </c>
      <c r="B159" s="117" t="s">
        <v>67</v>
      </c>
      <c r="C159" s="118"/>
      <c r="D159" s="137">
        <v>12000</v>
      </c>
      <c r="E159" s="137">
        <f>SUM(E160:E171)</f>
        <v>13299</v>
      </c>
      <c r="F159" s="137">
        <f>D159-E159</f>
        <v>-1299</v>
      </c>
    </row>
    <row r="160" spans="1:7" ht="15.75">
      <c r="A160" s="20"/>
      <c r="B160" s="99" t="s">
        <v>13</v>
      </c>
      <c r="C160" s="121"/>
      <c r="D160" s="114"/>
      <c r="E160" s="139">
        <v>2000</v>
      </c>
      <c r="F160" s="116"/>
      <c r="G160" s="16"/>
    </row>
    <row r="161" spans="1:7" ht="15.75">
      <c r="A161" s="20"/>
      <c r="B161" s="99" t="s">
        <v>14</v>
      </c>
      <c r="C161" s="121"/>
      <c r="D161" s="114"/>
      <c r="E161" s="139">
        <v>3000</v>
      </c>
      <c r="F161" s="116"/>
      <c r="G161" s="16"/>
    </row>
    <row r="162" spans="1:7" ht="15.75">
      <c r="A162" s="20"/>
      <c r="B162" s="99" t="s">
        <v>15</v>
      </c>
      <c r="C162" s="121"/>
      <c r="D162" s="114"/>
      <c r="E162" s="139">
        <v>3000</v>
      </c>
      <c r="F162" s="116"/>
      <c r="G162" s="16"/>
    </row>
    <row r="163" spans="1:7" ht="15.75">
      <c r="A163" s="20"/>
      <c r="B163" s="99" t="s">
        <v>16</v>
      </c>
      <c r="C163" s="121"/>
      <c r="D163" s="114"/>
      <c r="E163" s="139">
        <v>3000</v>
      </c>
      <c r="F163" s="116"/>
      <c r="G163" s="16"/>
    </row>
    <row r="164" spans="1:6" ht="15.75">
      <c r="A164" s="20"/>
      <c r="B164" s="99" t="s">
        <v>17</v>
      </c>
      <c r="C164" s="121"/>
      <c r="D164" s="114"/>
      <c r="E164" s="139"/>
      <c r="F164" s="116"/>
    </row>
    <row r="165" spans="1:6" ht="15.75">
      <c r="A165" s="20"/>
      <c r="B165" s="99" t="s">
        <v>18</v>
      </c>
      <c r="C165" s="121"/>
      <c r="D165" s="114"/>
      <c r="E165" s="114"/>
      <c r="F165" s="116"/>
    </row>
    <row r="166" spans="1:6" ht="15.75">
      <c r="A166" s="20"/>
      <c r="B166" s="99" t="s">
        <v>19</v>
      </c>
      <c r="C166" s="121"/>
      <c r="D166" s="114"/>
      <c r="E166" s="139"/>
      <c r="F166" s="116"/>
    </row>
    <row r="167" spans="1:6" ht="15.75">
      <c r="A167" s="20"/>
      <c r="B167" s="99" t="s">
        <v>20</v>
      </c>
      <c r="C167" s="121"/>
      <c r="D167" s="114"/>
      <c r="E167" s="139"/>
      <c r="F167" s="116"/>
    </row>
    <row r="168" spans="1:6" ht="15.75">
      <c r="A168" s="20"/>
      <c r="B168" s="99" t="s">
        <v>21</v>
      </c>
      <c r="C168" s="121"/>
      <c r="D168" s="114"/>
      <c r="E168" s="139"/>
      <c r="F168" s="116"/>
    </row>
    <row r="169" spans="1:6" ht="15.75">
      <c r="A169" s="20"/>
      <c r="B169" s="99" t="s">
        <v>22</v>
      </c>
      <c r="C169" s="121"/>
      <c r="D169" s="114"/>
      <c r="E169" s="139"/>
      <c r="F169" s="116"/>
    </row>
    <row r="170" spans="1:6" ht="15.75">
      <c r="A170" s="20"/>
      <c r="B170" s="99" t="s">
        <v>23</v>
      </c>
      <c r="C170" s="121"/>
      <c r="D170" s="114"/>
      <c r="E170" s="139"/>
      <c r="F170" s="116"/>
    </row>
    <row r="171" spans="1:6" ht="15.75">
      <c r="A171" s="20"/>
      <c r="B171" s="99" t="s">
        <v>30</v>
      </c>
      <c r="C171" s="121"/>
      <c r="D171" s="114"/>
      <c r="E171" s="139">
        <v>2299</v>
      </c>
      <c r="F171" s="116"/>
    </row>
    <row r="172" spans="1:6" ht="15.75">
      <c r="A172" s="17" t="s">
        <v>68</v>
      </c>
      <c r="B172" s="117" t="s">
        <v>69</v>
      </c>
      <c r="C172" s="118"/>
      <c r="D172" s="119">
        <v>60000</v>
      </c>
      <c r="E172" s="119">
        <f>SUM(E173:E184)</f>
        <v>107506.9</v>
      </c>
      <c r="F172" s="118">
        <f>D172-E172</f>
        <v>-47506.899999999994</v>
      </c>
    </row>
    <row r="173" spans="1:6" ht="15.75">
      <c r="A173" s="20"/>
      <c r="B173" s="99" t="s">
        <v>13</v>
      </c>
      <c r="C173" s="121"/>
      <c r="D173" s="124"/>
      <c r="E173" s="124">
        <f>3993.28+4516.84+12</f>
        <v>8522.12</v>
      </c>
      <c r="F173" s="121"/>
    </row>
    <row r="174" spans="1:6" ht="15.75">
      <c r="A174" s="20"/>
      <c r="B174" s="99" t="s">
        <v>14</v>
      </c>
      <c r="C174" s="121"/>
      <c r="D174" s="124"/>
      <c r="E174" s="124">
        <f>4260.02+4872.29+24</f>
        <v>9156.310000000001</v>
      </c>
      <c r="F174" s="121"/>
    </row>
    <row r="175" spans="1:6" ht="15.75">
      <c r="A175" s="20"/>
      <c r="B175" s="99" t="s">
        <v>15</v>
      </c>
      <c r="C175" s="121"/>
      <c r="D175" s="124"/>
      <c r="E175" s="124">
        <f>3955.97+4486.44+12</f>
        <v>8454.41</v>
      </c>
      <c r="F175" s="121"/>
    </row>
    <row r="176" spans="1:6" ht="15.75">
      <c r="A176" s="20"/>
      <c r="B176" s="99" t="s">
        <v>16</v>
      </c>
      <c r="C176" s="121"/>
      <c r="D176" s="124"/>
      <c r="E176" s="124">
        <f>3904.44+4423.06+12</f>
        <v>8339.5</v>
      </c>
      <c r="F176" s="121"/>
    </row>
    <row r="177" spans="1:6" ht="15.75">
      <c r="A177" s="20"/>
      <c r="B177" s="99" t="s">
        <v>17</v>
      </c>
      <c r="C177" s="121"/>
      <c r="D177" s="124"/>
      <c r="E177" s="124">
        <f>3843.41+4171.21+12</f>
        <v>8026.62</v>
      </c>
      <c r="F177" s="121"/>
    </row>
    <row r="178" spans="1:6" ht="15.75">
      <c r="A178" s="20"/>
      <c r="B178" s="99" t="s">
        <v>18</v>
      </c>
      <c r="C178" s="121"/>
      <c r="D178" s="124"/>
      <c r="E178" s="124">
        <f>4352.8+4930.05+12</f>
        <v>9294.85</v>
      </c>
      <c r="F178" s="121"/>
    </row>
    <row r="179" spans="1:6" ht="15.75">
      <c r="A179" s="20"/>
      <c r="B179" s="99" t="s">
        <v>19</v>
      </c>
      <c r="C179" s="121"/>
      <c r="D179" s="124"/>
      <c r="E179" s="124">
        <f>4228.9+4782.92+12</f>
        <v>9023.82</v>
      </c>
      <c r="F179" s="121"/>
    </row>
    <row r="180" spans="1:6" ht="15.75">
      <c r="A180" s="20"/>
      <c r="B180" s="99" t="s">
        <v>20</v>
      </c>
      <c r="C180" s="121"/>
      <c r="D180" s="124"/>
      <c r="E180" s="124">
        <f>4085.42+4607.88+12</f>
        <v>8705.3</v>
      </c>
      <c r="F180" s="121"/>
    </row>
    <row r="181" spans="1:6" ht="15.75">
      <c r="A181" s="20"/>
      <c r="B181" s="99" t="s">
        <v>21</v>
      </c>
      <c r="C181" s="121"/>
      <c r="D181" s="124"/>
      <c r="E181" s="124">
        <f>4266.33+4796.94+12</f>
        <v>9075.27</v>
      </c>
      <c r="F181" s="121"/>
    </row>
    <row r="182" spans="1:6" ht="15.75">
      <c r="A182" s="20"/>
      <c r="B182" s="99" t="s">
        <v>22</v>
      </c>
      <c r="C182" s="121"/>
      <c r="D182" s="124"/>
      <c r="E182" s="124">
        <f>4280.82+4770.02+82.06+121+12</f>
        <v>9265.9</v>
      </c>
      <c r="F182" s="121"/>
    </row>
    <row r="183" spans="1:6" ht="15.75">
      <c r="A183" s="20"/>
      <c r="B183" s="99" t="s">
        <v>23</v>
      </c>
      <c r="C183" s="121"/>
      <c r="D183" s="124"/>
      <c r="E183" s="124">
        <f>4530.87+5109.11+12</f>
        <v>9651.98</v>
      </c>
      <c r="F183" s="121"/>
    </row>
    <row r="184" spans="1:6" ht="15.75">
      <c r="A184" s="20"/>
      <c r="B184" s="99" t="s">
        <v>30</v>
      </c>
      <c r="C184" s="121"/>
      <c r="D184" s="124"/>
      <c r="E184" s="124">
        <f>4656.06+5322.76+12</f>
        <v>9990.82</v>
      </c>
      <c r="F184" s="121"/>
    </row>
    <row r="185" spans="1:6" ht="15.75">
      <c r="A185" s="20" t="s">
        <v>70</v>
      </c>
      <c r="B185" s="10" t="s">
        <v>71</v>
      </c>
      <c r="C185" s="60"/>
      <c r="D185" s="114"/>
      <c r="E185" s="114"/>
      <c r="F185" s="116"/>
    </row>
    <row r="186" spans="1:6" ht="15.75">
      <c r="A186" s="25" t="s">
        <v>72</v>
      </c>
      <c r="B186" s="117" t="s">
        <v>73</v>
      </c>
      <c r="C186" s="118"/>
      <c r="D186" s="119">
        <f>SUM(D187:D193)</f>
        <v>684565</v>
      </c>
      <c r="E186" s="119">
        <f>SUM(E187:E193)</f>
        <v>631758.17</v>
      </c>
      <c r="F186" s="118">
        <f>D186-E186</f>
        <v>52806.82999999996</v>
      </c>
    </row>
    <row r="187" spans="1:6" ht="31.5">
      <c r="A187" s="20"/>
      <c r="B187" s="109" t="s">
        <v>100</v>
      </c>
      <c r="C187" s="140"/>
      <c r="D187" s="124">
        <v>531565</v>
      </c>
      <c r="E187" s="124">
        <f>300447.55+122700+105000</f>
        <v>528147.55</v>
      </c>
      <c r="F187" s="140" t="s">
        <v>154</v>
      </c>
    </row>
    <row r="188" spans="1:7" ht="78.75">
      <c r="A188" s="20"/>
      <c r="B188" s="109" t="s">
        <v>101</v>
      </c>
      <c r="C188" s="121"/>
      <c r="D188" s="124">
        <v>22200</v>
      </c>
      <c r="E188" s="124">
        <f>116+3504+2380+754+950+10640+60+864+52.8+840+344+22.4+144+396.8+422.5+220+857.45+804+394</f>
        <v>23765.95</v>
      </c>
      <c r="F188" s="140" t="s">
        <v>280</v>
      </c>
      <c r="G188" s="16"/>
    </row>
    <row r="189" spans="1:9" ht="47.25">
      <c r="A189" s="20"/>
      <c r="B189" s="109" t="s">
        <v>102</v>
      </c>
      <c r="C189" s="121"/>
      <c r="D189" s="124">
        <v>50400</v>
      </c>
      <c r="E189" s="124">
        <f>299.83+28032+18580+13592+2550+650+2380+3300+5300+1400+280+219+219</f>
        <v>76801.83</v>
      </c>
      <c r="F189" s="140" t="s">
        <v>147</v>
      </c>
      <c r="G189" s="16"/>
      <c r="I189" s="16"/>
    </row>
    <row r="190" spans="1:7" ht="63">
      <c r="A190" s="20"/>
      <c r="B190" s="109" t="s">
        <v>103</v>
      </c>
      <c r="C190" s="140"/>
      <c r="D190" s="124">
        <v>6000</v>
      </c>
      <c r="E190" s="141">
        <f>227.01+722+100+130+657+104+831.4</f>
        <v>2771.41</v>
      </c>
      <c r="F190" s="140" t="s">
        <v>267</v>
      </c>
      <c r="G190" s="16"/>
    </row>
    <row r="191" spans="1:7" ht="31.5">
      <c r="A191" s="20"/>
      <c r="B191" s="109" t="s">
        <v>104</v>
      </c>
      <c r="C191" s="140"/>
      <c r="D191" s="124">
        <v>68400</v>
      </c>
      <c r="E191" s="141">
        <v>271.43</v>
      </c>
      <c r="F191" s="140" t="s">
        <v>252</v>
      </c>
      <c r="G191" s="16"/>
    </row>
    <row r="192" spans="1:6" ht="31.5">
      <c r="A192" s="20"/>
      <c r="B192" s="109" t="s">
        <v>74</v>
      </c>
      <c r="C192" s="140"/>
      <c r="D192" s="124">
        <v>6000</v>
      </c>
      <c r="E192" s="141"/>
      <c r="F192" s="121"/>
    </row>
    <row r="193" spans="1:7" ht="15.75">
      <c r="A193" s="20"/>
      <c r="B193" s="109"/>
      <c r="C193" s="140"/>
      <c r="D193" s="124"/>
      <c r="E193" s="141"/>
      <c r="F193" s="121"/>
      <c r="G193" s="16"/>
    </row>
    <row r="194" spans="1:6" ht="15.75">
      <c r="A194" s="25" t="s">
        <v>75</v>
      </c>
      <c r="B194" s="126" t="s">
        <v>76</v>
      </c>
      <c r="C194" s="127"/>
      <c r="D194" s="119">
        <f>SUM(D195:D197)</f>
        <v>20640</v>
      </c>
      <c r="E194" s="119">
        <f>SUM(E195:E199)</f>
        <v>14993.49</v>
      </c>
      <c r="F194" s="118">
        <f>D194-E194</f>
        <v>5646.51</v>
      </c>
    </row>
    <row r="195" spans="1:7" ht="47.25">
      <c r="A195" s="20"/>
      <c r="B195" s="109" t="s">
        <v>77</v>
      </c>
      <c r="C195" s="140"/>
      <c r="D195" s="142">
        <v>2400</v>
      </c>
      <c r="E195" s="142"/>
      <c r="F195" s="116"/>
      <c r="G195" s="16"/>
    </row>
    <row r="196" spans="1:7" ht="47.25">
      <c r="A196" s="20"/>
      <c r="B196" s="109" t="s">
        <v>78</v>
      </c>
      <c r="C196" s="140"/>
      <c r="D196" s="142">
        <v>16200</v>
      </c>
      <c r="E196" s="142">
        <f>965.3+511+965.3+172.1+539+272+478+724.8</f>
        <v>4627.5</v>
      </c>
      <c r="F196" s="116" t="s">
        <v>138</v>
      </c>
      <c r="G196" s="16"/>
    </row>
    <row r="197" spans="1:7" ht="31.5">
      <c r="A197" s="20"/>
      <c r="B197" s="109" t="s">
        <v>79</v>
      </c>
      <c r="C197" s="140"/>
      <c r="D197" s="142">
        <v>2040</v>
      </c>
      <c r="E197" s="142">
        <f>102+587+828.6</f>
        <v>1517.6</v>
      </c>
      <c r="F197" s="128" t="s">
        <v>268</v>
      </c>
      <c r="G197" s="16"/>
    </row>
    <row r="198" spans="1:7" ht="31.5">
      <c r="A198" s="20"/>
      <c r="B198" s="109" t="s">
        <v>105</v>
      </c>
      <c r="C198" s="140"/>
      <c r="D198" s="142">
        <v>4320</v>
      </c>
      <c r="E198" s="142">
        <v>8848.39</v>
      </c>
      <c r="F198" s="128" t="s">
        <v>272</v>
      </c>
      <c r="G198" s="16"/>
    </row>
    <row r="199" spans="1:7" ht="31.5">
      <c r="A199" s="20"/>
      <c r="B199" s="109" t="s">
        <v>106</v>
      </c>
      <c r="C199" s="140"/>
      <c r="D199" s="142">
        <v>5400</v>
      </c>
      <c r="E199" s="142"/>
      <c r="F199" s="116"/>
      <c r="G199" s="16"/>
    </row>
    <row r="200" spans="1:6" ht="15.75">
      <c r="A200" s="25" t="s">
        <v>80</v>
      </c>
      <c r="B200" s="126" t="s">
        <v>81</v>
      </c>
      <c r="C200" s="127"/>
      <c r="D200" s="143">
        <f>SUM(D201:D207)</f>
        <v>125280</v>
      </c>
      <c r="E200" s="143">
        <f>SUM(E201:E207)</f>
        <v>35803.6</v>
      </c>
      <c r="F200" s="137">
        <f aca="true" t="shared" si="0" ref="F200:F220">D200-E200</f>
        <v>89476.4</v>
      </c>
    </row>
    <row r="201" spans="1:9" ht="15.75">
      <c r="A201" s="20"/>
      <c r="B201" s="109" t="s">
        <v>107</v>
      </c>
      <c r="C201" s="140"/>
      <c r="D201" s="142">
        <v>45840</v>
      </c>
      <c r="E201" s="142"/>
      <c r="F201" s="116">
        <f t="shared" si="0"/>
        <v>45840</v>
      </c>
      <c r="G201" s="16"/>
      <c r="I201" s="16"/>
    </row>
    <row r="202" spans="1:7" ht="15.75">
      <c r="A202" s="20"/>
      <c r="B202" s="109" t="s">
        <v>82</v>
      </c>
      <c r="C202" s="140"/>
      <c r="D202" s="142">
        <v>38400</v>
      </c>
      <c r="E202" s="142"/>
      <c r="F202" s="116">
        <f t="shared" si="0"/>
        <v>38400</v>
      </c>
      <c r="G202" s="16"/>
    </row>
    <row r="203" spans="1:6" ht="31.5">
      <c r="A203" s="20"/>
      <c r="B203" s="109" t="s">
        <v>83</v>
      </c>
      <c r="C203" s="140"/>
      <c r="D203" s="142">
        <v>6000</v>
      </c>
      <c r="E203" s="142"/>
      <c r="F203" s="116">
        <f t="shared" si="0"/>
        <v>6000</v>
      </c>
    </row>
    <row r="204" spans="1:6" ht="31.5">
      <c r="A204" s="20"/>
      <c r="B204" s="109" t="s">
        <v>84</v>
      </c>
      <c r="C204" s="140"/>
      <c r="D204" s="142">
        <v>2040</v>
      </c>
      <c r="E204" s="142"/>
      <c r="F204" s="116">
        <f t="shared" si="0"/>
        <v>2040</v>
      </c>
    </row>
    <row r="205" spans="1:9" ht="31.5">
      <c r="A205" s="20"/>
      <c r="B205" s="109" t="s">
        <v>271</v>
      </c>
      <c r="C205" s="140"/>
      <c r="D205" s="142">
        <v>20400</v>
      </c>
      <c r="E205" s="142">
        <f>14483+7655+1034+7980+3000+750</f>
        <v>34902</v>
      </c>
      <c r="F205" s="116">
        <f t="shared" si="0"/>
        <v>-14502</v>
      </c>
      <c r="G205" s="28"/>
      <c r="I205" s="16"/>
    </row>
    <row r="206" spans="1:7" ht="31.5">
      <c r="A206" s="20"/>
      <c r="B206" s="109" t="s">
        <v>85</v>
      </c>
      <c r="C206" s="140"/>
      <c r="D206" s="142">
        <v>9000</v>
      </c>
      <c r="E206" s="142">
        <v>901.6</v>
      </c>
      <c r="F206" s="116">
        <f t="shared" si="0"/>
        <v>8098.4</v>
      </c>
      <c r="G206" s="16"/>
    </row>
    <row r="207" spans="1:7" ht="15.75">
      <c r="A207" s="20"/>
      <c r="B207" s="109" t="s">
        <v>109</v>
      </c>
      <c r="C207" s="140"/>
      <c r="D207" s="142">
        <v>3600</v>
      </c>
      <c r="E207" s="142"/>
      <c r="F207" s="116">
        <f t="shared" si="0"/>
        <v>3600</v>
      </c>
      <c r="G207" s="16"/>
    </row>
    <row r="208" spans="1:6" ht="31.5">
      <c r="A208" s="25" t="s">
        <v>86</v>
      </c>
      <c r="B208" s="126" t="s">
        <v>87</v>
      </c>
      <c r="C208" s="127"/>
      <c r="D208" s="143">
        <f>SUM(D209:D218)</f>
        <v>89880</v>
      </c>
      <c r="E208" s="143">
        <f>SUM(E209:E218)</f>
        <v>5591.15</v>
      </c>
      <c r="F208" s="137">
        <f t="shared" si="0"/>
        <v>84288.85</v>
      </c>
    </row>
    <row r="209" spans="1:12" ht="47.25">
      <c r="A209" s="20"/>
      <c r="B209" s="109" t="s">
        <v>110</v>
      </c>
      <c r="C209" s="140"/>
      <c r="D209" s="142">
        <v>60000</v>
      </c>
      <c r="E209" s="144"/>
      <c r="F209" s="116"/>
      <c r="I209" s="16"/>
      <c r="L209" s="16"/>
    </row>
    <row r="210" spans="1:10" ht="28.5" customHeight="1">
      <c r="A210" s="20"/>
      <c r="B210" s="109" t="s">
        <v>269</v>
      </c>
      <c r="C210" s="140"/>
      <c r="D210" s="142">
        <v>7200</v>
      </c>
      <c r="E210" s="142">
        <f>84.9+48+72</f>
        <v>204.9</v>
      </c>
      <c r="F210" s="116" t="s">
        <v>245</v>
      </c>
      <c r="G210" s="16"/>
      <c r="H210" s="16"/>
      <c r="J210" s="16"/>
    </row>
    <row r="211" spans="1:10" ht="15.75">
      <c r="A211" s="20"/>
      <c r="B211" s="109" t="s">
        <v>112</v>
      </c>
      <c r="C211" s="140"/>
      <c r="D211" s="142">
        <v>6000</v>
      </c>
      <c r="E211" s="142">
        <v>3800</v>
      </c>
      <c r="F211" s="116"/>
      <c r="H211" s="16"/>
      <c r="J211" s="16"/>
    </row>
    <row r="212" spans="1:10" ht="15.75">
      <c r="A212" s="20"/>
      <c r="B212" s="109" t="s">
        <v>113</v>
      </c>
      <c r="C212" s="140"/>
      <c r="D212" s="142">
        <v>1800</v>
      </c>
      <c r="E212" s="142">
        <v>295</v>
      </c>
      <c r="F212" s="116" t="s">
        <v>270</v>
      </c>
      <c r="G212" s="16"/>
      <c r="J212" s="16"/>
    </row>
    <row r="213" spans="1:6" ht="15.75">
      <c r="A213" s="20"/>
      <c r="B213" s="109" t="s">
        <v>88</v>
      </c>
      <c r="C213" s="140"/>
      <c r="D213" s="142">
        <v>4200</v>
      </c>
      <c r="E213" s="142"/>
      <c r="F213" s="116"/>
    </row>
    <row r="214" spans="1:7" ht="63">
      <c r="A214" s="20"/>
      <c r="B214" s="109" t="s">
        <v>114</v>
      </c>
      <c r="C214" s="140"/>
      <c r="D214" s="142">
        <v>3600</v>
      </c>
      <c r="E214" s="142"/>
      <c r="F214" s="116"/>
      <c r="G214" s="16"/>
    </row>
    <row r="215" spans="1:8" ht="15.75">
      <c r="A215" s="20"/>
      <c r="B215" s="109" t="s">
        <v>115</v>
      </c>
      <c r="C215" s="140"/>
      <c r="D215" s="142">
        <v>3000</v>
      </c>
      <c r="E215" s="142"/>
      <c r="F215" s="116"/>
      <c r="H215" s="16"/>
    </row>
    <row r="216" spans="1:6" ht="47.25">
      <c r="A216" s="20"/>
      <c r="B216" s="109" t="s">
        <v>119</v>
      </c>
      <c r="C216" s="140"/>
      <c r="D216" s="142">
        <v>2640</v>
      </c>
      <c r="E216" s="142">
        <f>49+193.3+157.25+59.9+99.5+180+459.3</f>
        <v>1198.25</v>
      </c>
      <c r="F216" s="128" t="s">
        <v>143</v>
      </c>
    </row>
    <row r="217" spans="1:6" ht="15.75">
      <c r="A217" s="20"/>
      <c r="B217" s="109" t="s">
        <v>89</v>
      </c>
      <c r="C217" s="140"/>
      <c r="D217" s="142">
        <v>960</v>
      </c>
      <c r="E217" s="142">
        <f>93</f>
        <v>93</v>
      </c>
      <c r="F217" s="116" t="s">
        <v>139</v>
      </c>
    </row>
    <row r="218" spans="1:6" ht="15.75">
      <c r="A218" s="20"/>
      <c r="B218" s="109" t="s">
        <v>90</v>
      </c>
      <c r="C218" s="140"/>
      <c r="D218" s="142">
        <v>480</v>
      </c>
      <c r="E218" s="142"/>
      <c r="F218" s="116"/>
    </row>
    <row r="219" spans="1:6" ht="47.25">
      <c r="A219" s="25" t="s">
        <v>91</v>
      </c>
      <c r="B219" s="126" t="s">
        <v>116</v>
      </c>
      <c r="C219" s="127"/>
      <c r="D219" s="143">
        <v>12000</v>
      </c>
      <c r="E219" s="143">
        <f>325+547.34+84+426+1725+1132.5+1724+328</f>
        <v>6291.84</v>
      </c>
      <c r="F219" s="137">
        <f t="shared" si="0"/>
        <v>5708.16</v>
      </c>
    </row>
    <row r="220" spans="1:6" ht="15.75">
      <c r="A220" s="25" t="s">
        <v>92</v>
      </c>
      <c r="B220" s="126" t="s">
        <v>93</v>
      </c>
      <c r="C220" s="127"/>
      <c r="D220" s="143">
        <v>75840</v>
      </c>
      <c r="E220" s="143">
        <f>SUM(E221:E234)</f>
        <v>173410.31</v>
      </c>
      <c r="F220" s="137">
        <f t="shared" si="0"/>
        <v>-97570.31</v>
      </c>
    </row>
    <row r="221" spans="1:6" ht="15.75">
      <c r="A221" s="2"/>
      <c r="B221" s="99" t="s">
        <v>120</v>
      </c>
      <c r="C221" s="121"/>
      <c r="D221" s="142"/>
      <c r="E221" s="142">
        <v>415</v>
      </c>
      <c r="F221" s="99"/>
    </row>
    <row r="222" spans="1:6" ht="15.75">
      <c r="A222" s="2"/>
      <c r="B222" s="99" t="s">
        <v>128</v>
      </c>
      <c r="C222" s="121"/>
      <c r="D222" s="142"/>
      <c r="E222" s="144">
        <v>143.39</v>
      </c>
      <c r="F222" s="99"/>
    </row>
    <row r="223" spans="1:6" ht="15.75">
      <c r="A223" s="2"/>
      <c r="B223" s="99" t="s">
        <v>129</v>
      </c>
      <c r="C223" s="121"/>
      <c r="D223" s="142"/>
      <c r="E223" s="144">
        <f>12166+40000</f>
        <v>52166</v>
      </c>
      <c r="F223" s="99"/>
    </row>
    <row r="224" spans="1:6" ht="15.75">
      <c r="A224" s="2"/>
      <c r="B224" s="99" t="s">
        <v>130</v>
      </c>
      <c r="C224" s="121"/>
      <c r="D224" s="142"/>
      <c r="E224" s="144">
        <f>9500+4500</f>
        <v>14000</v>
      </c>
      <c r="F224" s="99"/>
    </row>
    <row r="225" spans="1:6" ht="15.75">
      <c r="A225" s="2"/>
      <c r="B225" s="99" t="s">
        <v>158</v>
      </c>
      <c r="C225" s="121"/>
      <c r="D225" s="142"/>
      <c r="E225" s="144">
        <v>2796</v>
      </c>
      <c r="F225" s="99"/>
    </row>
    <row r="226" spans="1:6" ht="15.75">
      <c r="A226" s="2"/>
      <c r="B226" s="99" t="s">
        <v>150</v>
      </c>
      <c r="C226" s="121"/>
      <c r="D226" s="142"/>
      <c r="E226" s="144">
        <f>1330.2+349.89</f>
        <v>1680.0900000000001</v>
      </c>
      <c r="F226" s="99"/>
    </row>
    <row r="227" spans="1:6" ht="15.75">
      <c r="A227" s="2"/>
      <c r="B227" s="99" t="s">
        <v>258</v>
      </c>
      <c r="C227" s="121"/>
      <c r="D227" s="142"/>
      <c r="E227" s="142">
        <v>450.43</v>
      </c>
      <c r="F227" s="99"/>
    </row>
    <row r="228" spans="1:6" ht="13.5" customHeight="1">
      <c r="A228" s="2"/>
      <c r="B228" s="99" t="s">
        <v>247</v>
      </c>
      <c r="C228" s="121"/>
      <c r="D228" s="142"/>
      <c r="E228" s="142">
        <v>2.99</v>
      </c>
      <c r="F228" s="99"/>
    </row>
    <row r="229" spans="1:6" ht="15.75">
      <c r="A229" s="2"/>
      <c r="B229" s="99" t="s">
        <v>248</v>
      </c>
      <c r="C229" s="121"/>
      <c r="D229" s="142"/>
      <c r="E229" s="144">
        <v>386</v>
      </c>
      <c r="F229" s="99"/>
    </row>
    <row r="230" spans="1:6" ht="15.75">
      <c r="A230" s="2"/>
      <c r="B230" s="99" t="s">
        <v>278</v>
      </c>
      <c r="C230" s="121"/>
      <c r="D230" s="142"/>
      <c r="E230" s="144">
        <v>29649.23</v>
      </c>
      <c r="F230" s="99"/>
    </row>
    <row r="231" spans="1:6" ht="15.75">
      <c r="A231" s="2"/>
      <c r="B231" s="99" t="s">
        <v>281</v>
      </c>
      <c r="C231" s="121"/>
      <c r="D231" s="142"/>
      <c r="E231" s="144">
        <v>71721.18</v>
      </c>
      <c r="F231" s="99"/>
    </row>
    <row r="232" spans="1:6" ht="15.75">
      <c r="A232" s="2"/>
      <c r="B232" s="99"/>
      <c r="C232" s="121"/>
      <c r="D232" s="142"/>
      <c r="E232" s="144"/>
      <c r="F232" s="99"/>
    </row>
    <row r="233" spans="1:6" ht="15.75">
      <c r="A233" s="2"/>
      <c r="B233" s="99"/>
      <c r="C233" s="121"/>
      <c r="D233" s="142"/>
      <c r="E233" s="144"/>
      <c r="F233" s="99"/>
    </row>
    <row r="234" spans="1:6" ht="15.75">
      <c r="A234" s="2"/>
      <c r="B234" s="99"/>
      <c r="C234" s="121"/>
      <c r="D234" s="142"/>
      <c r="E234" s="144"/>
      <c r="F234" s="99"/>
    </row>
    <row r="235" spans="1:6" ht="15.75">
      <c r="A235" s="4"/>
      <c r="B235" s="106" t="s">
        <v>94</v>
      </c>
      <c r="C235" s="100"/>
      <c r="D235" s="145"/>
      <c r="E235" s="145">
        <f>E220+E219+E208+E200+E194+E186+E159+E158+E157+E144+E131+E118+E85+E72+E69+E56+E43+E30+E17</f>
        <v>2804334.95</v>
      </c>
      <c r="F235" s="106"/>
    </row>
    <row r="236" spans="1:6" ht="15.75">
      <c r="A236" s="2"/>
      <c r="B236" s="106" t="s">
        <v>9</v>
      </c>
      <c r="C236" s="121"/>
      <c r="D236" s="146"/>
      <c r="E236" s="147">
        <f>SUM(E235:E235)</f>
        <v>2804334.95</v>
      </c>
      <c r="F236" s="99"/>
    </row>
    <row r="237" spans="2:6" ht="15.75">
      <c r="B237" s="148"/>
      <c r="C237" s="148"/>
      <c r="D237" s="148"/>
      <c r="E237" s="148"/>
      <c r="F237" s="149"/>
    </row>
    <row r="238" spans="2:6" ht="15.75">
      <c r="B238" s="148" t="s">
        <v>95</v>
      </c>
      <c r="C238" s="148"/>
      <c r="D238" s="148"/>
      <c r="E238" s="148"/>
      <c r="F238" s="148">
        <v>17060.5</v>
      </c>
    </row>
    <row r="239" ht="15">
      <c r="F239" s="30"/>
    </row>
    <row r="240" ht="15">
      <c r="F240" s="30"/>
    </row>
    <row r="241" spans="2:6" ht="15">
      <c r="B241" t="s">
        <v>96</v>
      </c>
      <c r="F241" s="30" t="s">
        <v>131</v>
      </c>
    </row>
    <row r="242" ht="15">
      <c r="F242" s="30"/>
    </row>
    <row r="243" spans="5:6" ht="15">
      <c r="E243" s="63"/>
      <c r="F243" s="73">
        <f>E4-(E235+F238)</f>
        <v>-2821395.45</v>
      </c>
    </row>
    <row r="244" spans="5:6" ht="15">
      <c r="E244" s="63"/>
      <c r="F244" s="30"/>
    </row>
    <row r="245" ht="15">
      <c r="F245" s="30"/>
    </row>
    <row r="246" ht="15">
      <c r="F246" s="30"/>
    </row>
    <row r="247" ht="15">
      <c r="F247" s="30"/>
    </row>
    <row r="248" ht="15">
      <c r="F248" s="30"/>
    </row>
    <row r="249" ht="15">
      <c r="F249" s="30"/>
    </row>
    <row r="250" ht="15">
      <c r="F250" s="30"/>
    </row>
    <row r="251" ht="15">
      <c r="F251" s="30"/>
    </row>
    <row r="252" ht="15">
      <c r="F252" s="30"/>
    </row>
    <row r="253" ht="15">
      <c r="F253" s="30"/>
    </row>
    <row r="254" ht="15">
      <c r="F254" s="30"/>
    </row>
    <row r="255" ht="15">
      <c r="F255" s="30"/>
    </row>
    <row r="256" ht="15">
      <c r="F256" s="30"/>
    </row>
    <row r="257" ht="15">
      <c r="F257" s="30"/>
    </row>
    <row r="258" ht="15">
      <c r="F258" s="30"/>
    </row>
    <row r="259" ht="15">
      <c r="F259" s="30"/>
    </row>
    <row r="260" ht="15">
      <c r="F260" s="30"/>
    </row>
    <row r="261" ht="15">
      <c r="F261" s="30"/>
    </row>
    <row r="262" ht="15">
      <c r="F262" s="30"/>
    </row>
    <row r="263" ht="15">
      <c r="F263" s="30"/>
    </row>
    <row r="264" ht="15">
      <c r="F264" s="30"/>
    </row>
    <row r="265" ht="15">
      <c r="F265" s="30"/>
    </row>
    <row r="266" ht="15">
      <c r="F266" s="30"/>
    </row>
    <row r="267" ht="15">
      <c r="F267" s="30"/>
    </row>
    <row r="268" ht="15">
      <c r="F268" s="30"/>
    </row>
    <row r="269" ht="15">
      <c r="F269" s="30"/>
    </row>
    <row r="270" ht="15">
      <c r="F270" s="30"/>
    </row>
    <row r="271" ht="15">
      <c r="F271" s="30"/>
    </row>
    <row r="272" ht="15">
      <c r="F272" s="30"/>
    </row>
    <row r="273" ht="15">
      <c r="F273" s="30"/>
    </row>
    <row r="274" ht="15">
      <c r="F274" s="30"/>
    </row>
    <row r="275" ht="15">
      <c r="F275" s="30"/>
    </row>
    <row r="276" ht="15">
      <c r="F276" s="30"/>
    </row>
    <row r="277" ht="15">
      <c r="F277" s="30"/>
    </row>
    <row r="278" ht="15">
      <c r="F278" s="30"/>
    </row>
    <row r="279" ht="15">
      <c r="F279" s="30"/>
    </row>
    <row r="280" ht="15">
      <c r="F280" s="30"/>
    </row>
    <row r="281" ht="15">
      <c r="F281" s="30"/>
    </row>
    <row r="282" ht="15">
      <c r="F282" s="30"/>
    </row>
    <row r="283" ht="15">
      <c r="F283" s="30"/>
    </row>
    <row r="284" ht="15">
      <c r="F284" s="30"/>
    </row>
    <row r="285" ht="15">
      <c r="F285" s="30"/>
    </row>
    <row r="286" ht="15">
      <c r="F286" s="30"/>
    </row>
    <row r="287" ht="15">
      <c r="F287" s="30"/>
    </row>
    <row r="288" ht="15">
      <c r="F288" s="30"/>
    </row>
    <row r="289" ht="15">
      <c r="F289" s="30"/>
    </row>
    <row r="290" ht="15">
      <c r="F290" s="30"/>
    </row>
    <row r="291" ht="15">
      <c r="F291" s="30"/>
    </row>
    <row r="292" ht="15">
      <c r="F292" s="30"/>
    </row>
    <row r="293" ht="15">
      <c r="F293" s="30"/>
    </row>
    <row r="294" ht="15">
      <c r="F294" s="30"/>
    </row>
    <row r="295" ht="15">
      <c r="F295" s="30"/>
    </row>
    <row r="296" ht="15">
      <c r="F296" s="30"/>
    </row>
    <row r="297" ht="15">
      <c r="F297" s="30"/>
    </row>
    <row r="298" ht="15">
      <c r="F298" s="30"/>
    </row>
    <row r="299" ht="15">
      <c r="F299" s="30"/>
    </row>
    <row r="300" ht="15">
      <c r="F300" s="30"/>
    </row>
    <row r="301" ht="15">
      <c r="F301" s="30"/>
    </row>
    <row r="302" ht="15">
      <c r="F302" s="30"/>
    </row>
    <row r="303" ht="15">
      <c r="F303" s="30"/>
    </row>
    <row r="304" ht="15">
      <c r="F304" s="30"/>
    </row>
    <row r="305" ht="15">
      <c r="F305" s="30"/>
    </row>
    <row r="306" ht="15">
      <c r="F306" s="30"/>
    </row>
    <row r="307" ht="15">
      <c r="F307" s="30"/>
    </row>
    <row r="308" ht="15">
      <c r="F308" s="30"/>
    </row>
    <row r="309" ht="15">
      <c r="F309" s="30"/>
    </row>
    <row r="310" ht="15">
      <c r="F310" s="30"/>
    </row>
    <row r="311" ht="15">
      <c r="F311" s="30"/>
    </row>
    <row r="312" ht="15">
      <c r="F312" s="30"/>
    </row>
    <row r="313" ht="15">
      <c r="F313" s="30"/>
    </row>
    <row r="314" ht="15">
      <c r="F314" s="30"/>
    </row>
    <row r="315" ht="15">
      <c r="F315" s="30"/>
    </row>
    <row r="316" ht="15">
      <c r="F316" s="30"/>
    </row>
    <row r="317" ht="15">
      <c r="F317" s="30"/>
    </row>
    <row r="318" ht="15">
      <c r="F318" s="30"/>
    </row>
    <row r="319" ht="15">
      <c r="F319" s="30"/>
    </row>
    <row r="320" ht="15">
      <c r="F320" s="30"/>
    </row>
    <row r="321" ht="15">
      <c r="F321" s="30"/>
    </row>
    <row r="322" ht="15">
      <c r="F322" s="30"/>
    </row>
    <row r="323" ht="15">
      <c r="F323" s="30"/>
    </row>
    <row r="324" ht="15">
      <c r="F324" s="30"/>
    </row>
    <row r="325" ht="15">
      <c r="F325" s="30"/>
    </row>
    <row r="326" ht="15">
      <c r="F326" s="30"/>
    </row>
    <row r="327" ht="15">
      <c r="F327" s="30"/>
    </row>
    <row r="328" ht="15">
      <c r="F328" s="30"/>
    </row>
    <row r="329" ht="15">
      <c r="F329" s="30"/>
    </row>
    <row r="330" ht="15">
      <c r="F330" s="30"/>
    </row>
    <row r="331" ht="15">
      <c r="F331" s="30"/>
    </row>
    <row r="332" ht="15">
      <c r="F332" s="30"/>
    </row>
    <row r="333" ht="15">
      <c r="F333" s="30"/>
    </row>
    <row r="334" ht="15">
      <c r="F334" s="30"/>
    </row>
    <row r="335" ht="15">
      <c r="F335" s="30"/>
    </row>
    <row r="336" ht="15">
      <c r="F336" s="30"/>
    </row>
    <row r="337" ht="15">
      <c r="F337" s="30"/>
    </row>
    <row r="338" ht="15">
      <c r="F338" s="30"/>
    </row>
    <row r="339" ht="15">
      <c r="F339" s="30"/>
    </row>
    <row r="340" ht="15">
      <c r="F340" s="30"/>
    </row>
    <row r="341" ht="15">
      <c r="F341" s="30"/>
    </row>
    <row r="342" ht="15">
      <c r="F342" s="30"/>
    </row>
    <row r="343" ht="15">
      <c r="F343" s="30"/>
    </row>
    <row r="344" ht="15">
      <c r="F344" s="30"/>
    </row>
    <row r="345" ht="15">
      <c r="F345" s="30"/>
    </row>
    <row r="346" ht="15">
      <c r="F346" s="30"/>
    </row>
    <row r="347" ht="15">
      <c r="F347" s="30"/>
    </row>
    <row r="348" ht="15">
      <c r="F348" s="30"/>
    </row>
    <row r="349" ht="15">
      <c r="F349" s="30"/>
    </row>
    <row r="350" ht="15">
      <c r="F350" s="30"/>
    </row>
    <row r="351" ht="15">
      <c r="F351" s="30"/>
    </row>
    <row r="352" ht="15">
      <c r="F352" s="30"/>
    </row>
    <row r="353" ht="15">
      <c r="F353" s="30"/>
    </row>
    <row r="354" ht="15">
      <c r="F354" s="30"/>
    </row>
    <row r="355" ht="15">
      <c r="F355" s="30"/>
    </row>
    <row r="356" ht="15">
      <c r="F356" s="30"/>
    </row>
    <row r="357" ht="15">
      <c r="F357" s="30"/>
    </row>
    <row r="358" ht="15">
      <c r="F358" s="30"/>
    </row>
    <row r="359" ht="15">
      <c r="F359" s="30"/>
    </row>
    <row r="360" ht="15">
      <c r="F360" s="30"/>
    </row>
    <row r="361" ht="15">
      <c r="F361" s="30"/>
    </row>
    <row r="362" ht="15">
      <c r="F362" s="30"/>
    </row>
    <row r="363" ht="15">
      <c r="F363" s="30"/>
    </row>
    <row r="364" ht="15">
      <c r="F364" s="30"/>
    </row>
    <row r="365" ht="15">
      <c r="F365" s="30"/>
    </row>
    <row r="366" ht="15">
      <c r="F366" s="30"/>
    </row>
    <row r="367" ht="15">
      <c r="F367" s="30"/>
    </row>
    <row r="368" ht="15">
      <c r="F368" s="30"/>
    </row>
    <row r="369" ht="15">
      <c r="F369" s="30"/>
    </row>
    <row r="370" ht="15">
      <c r="F370" s="30"/>
    </row>
    <row r="371" ht="15">
      <c r="F371" s="30"/>
    </row>
    <row r="372" ht="15">
      <c r="F372" s="30"/>
    </row>
    <row r="373" ht="15">
      <c r="F373" s="30"/>
    </row>
    <row r="374" ht="15">
      <c r="F374" s="30"/>
    </row>
    <row r="375" ht="15">
      <c r="F375" s="30"/>
    </row>
    <row r="376" ht="15">
      <c r="F376" s="30"/>
    </row>
    <row r="377" ht="15">
      <c r="F377" s="30"/>
    </row>
    <row r="378" ht="15">
      <c r="F378" s="30"/>
    </row>
    <row r="379" ht="15">
      <c r="F379" s="30"/>
    </row>
    <row r="380" ht="15">
      <c r="F380" s="30"/>
    </row>
    <row r="381" ht="15">
      <c r="F381" s="30"/>
    </row>
    <row r="382" ht="15">
      <c r="F382" s="30"/>
    </row>
    <row r="383" ht="15">
      <c r="F383" s="30"/>
    </row>
    <row r="384" ht="15">
      <c r="F384" s="30"/>
    </row>
    <row r="385" ht="15">
      <c r="F385" s="30"/>
    </row>
    <row r="386" ht="15">
      <c r="F386" s="30"/>
    </row>
    <row r="387" ht="15">
      <c r="F387" s="30"/>
    </row>
    <row r="388" ht="15">
      <c r="F388" s="30"/>
    </row>
    <row r="389" ht="15">
      <c r="F389" s="30"/>
    </row>
    <row r="390" ht="15">
      <c r="F390" s="30"/>
    </row>
    <row r="391" ht="15">
      <c r="F391" s="30"/>
    </row>
    <row r="392" ht="15">
      <c r="F392" s="30"/>
    </row>
    <row r="393" ht="15">
      <c r="F393" s="30"/>
    </row>
    <row r="394" ht="15">
      <c r="F394" s="30"/>
    </row>
    <row r="395" ht="15">
      <c r="F395" s="30"/>
    </row>
    <row r="396" ht="15">
      <c r="F396" s="30"/>
    </row>
    <row r="397" ht="15">
      <c r="F397" s="30"/>
    </row>
  </sheetData>
  <sheetProtection/>
  <mergeCells count="3">
    <mergeCell ref="A1:F1"/>
    <mergeCell ref="A2:B2"/>
    <mergeCell ref="D2:F2"/>
  </mergeCell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4"/>
  <sheetViews>
    <sheetView zoomScalePageLayoutView="0" workbookViewId="0" topLeftCell="J1">
      <selection activeCell="W2" sqref="W2"/>
    </sheetView>
  </sheetViews>
  <sheetFormatPr defaultColWidth="9.140625" defaultRowHeight="15"/>
  <cols>
    <col min="1" max="1" width="23.57421875" style="75" customWidth="1"/>
    <col min="2" max="2" width="9.421875" style="80" customWidth="1"/>
    <col min="3" max="10" width="9.140625" style="80" customWidth="1"/>
    <col min="11" max="16384" width="9.140625" style="75" customWidth="1"/>
  </cols>
  <sheetData>
    <row r="1" spans="1:26" ht="15">
      <c r="A1" s="82" t="s">
        <v>163</v>
      </c>
      <c r="B1" s="223" t="s">
        <v>13</v>
      </c>
      <c r="C1" s="223"/>
      <c r="D1" s="223"/>
      <c r="E1" s="224" t="s">
        <v>14</v>
      </c>
      <c r="F1" s="225"/>
      <c r="G1" s="225"/>
      <c r="H1" s="225"/>
      <c r="I1" s="225"/>
      <c r="J1" s="226"/>
      <c r="K1" s="83" t="s">
        <v>15</v>
      </c>
      <c r="L1" s="227" t="s">
        <v>16</v>
      </c>
      <c r="M1" s="228"/>
      <c r="N1" s="228"/>
      <c r="O1" s="229"/>
      <c r="P1" s="230" t="s">
        <v>17</v>
      </c>
      <c r="Q1" s="231"/>
      <c r="R1" s="231"/>
      <c r="S1" s="231"/>
      <c r="T1" s="231"/>
      <c r="U1" s="231"/>
      <c r="V1" s="232"/>
      <c r="W1" s="233" t="s">
        <v>18</v>
      </c>
      <c r="X1" s="234"/>
      <c r="Y1" s="221" t="s">
        <v>19</v>
      </c>
      <c r="Z1" s="222"/>
    </row>
    <row r="2" spans="1:26" ht="15">
      <c r="A2" s="75" t="s">
        <v>164</v>
      </c>
      <c r="B2" s="76">
        <v>67.5</v>
      </c>
      <c r="C2" s="76">
        <f>1480.3+299.7</f>
        <v>1780</v>
      </c>
      <c r="D2" s="76">
        <v>70</v>
      </c>
      <c r="E2" s="79">
        <v>120</v>
      </c>
      <c r="F2" s="79">
        <v>39.2</v>
      </c>
      <c r="G2" s="79">
        <v>134.4</v>
      </c>
      <c r="H2" s="79">
        <f>241.5</f>
        <v>241.5</v>
      </c>
      <c r="I2" s="79">
        <v>68.4</v>
      </c>
      <c r="J2" s="79">
        <v>165.6</v>
      </c>
      <c r="K2" s="81">
        <v>70</v>
      </c>
      <c r="L2" s="85">
        <v>70</v>
      </c>
      <c r="M2" s="85">
        <f>134.7+255</f>
        <v>389.7</v>
      </c>
      <c r="N2" s="85">
        <v>170</v>
      </c>
      <c r="O2" s="85">
        <v>59.9</v>
      </c>
      <c r="P2" s="84">
        <f>176.3+100</f>
        <v>276.3</v>
      </c>
      <c r="Q2" s="84">
        <v>150</v>
      </c>
      <c r="R2" s="84">
        <f>221.7+56.3</f>
        <v>278</v>
      </c>
      <c r="S2" s="84">
        <v>81.4</v>
      </c>
      <c r="T2" s="84">
        <v>162.2</v>
      </c>
      <c r="U2" s="84">
        <v>160.5</v>
      </c>
      <c r="V2" s="84">
        <v>59.9</v>
      </c>
      <c r="W2" s="86">
        <v>1974</v>
      </c>
      <c r="X2" s="86"/>
      <c r="Y2" s="87">
        <v>300</v>
      </c>
      <c r="Z2" s="87">
        <v>220</v>
      </c>
    </row>
    <row r="3" spans="2:26" ht="15">
      <c r="B3" s="76" t="s">
        <v>144</v>
      </c>
      <c r="C3" s="76" t="s">
        <v>168</v>
      </c>
      <c r="D3" s="76" t="s">
        <v>144</v>
      </c>
      <c r="E3" s="79" t="s">
        <v>174</v>
      </c>
      <c r="F3" s="79" t="s">
        <v>144</v>
      </c>
      <c r="G3" s="79" t="s">
        <v>175</v>
      </c>
      <c r="H3" s="79" t="s">
        <v>178</v>
      </c>
      <c r="I3" s="79"/>
      <c r="J3" s="79" t="s">
        <v>180</v>
      </c>
      <c r="K3" s="81" t="s">
        <v>144</v>
      </c>
      <c r="L3" s="85" t="s">
        <v>144</v>
      </c>
      <c r="M3" s="85" t="s">
        <v>188</v>
      </c>
      <c r="N3" s="85" t="s">
        <v>174</v>
      </c>
      <c r="O3" s="85" t="s">
        <v>189</v>
      </c>
      <c r="P3" s="84" t="s">
        <v>195</v>
      </c>
      <c r="Q3" s="84" t="s">
        <v>196</v>
      </c>
      <c r="R3" s="84" t="s">
        <v>216</v>
      </c>
      <c r="S3" s="84" t="s">
        <v>194</v>
      </c>
      <c r="T3" s="84" t="s">
        <v>200</v>
      </c>
      <c r="U3" s="84" t="s">
        <v>201</v>
      </c>
      <c r="V3" s="84" t="s">
        <v>204</v>
      </c>
      <c r="W3" s="86" t="s">
        <v>207</v>
      </c>
      <c r="X3" s="86"/>
      <c r="Y3" s="87" t="s">
        <v>213</v>
      </c>
      <c r="Z3" s="87" t="s">
        <v>212</v>
      </c>
    </row>
    <row r="4" spans="1:26" ht="15">
      <c r="A4" s="75" t="s">
        <v>165</v>
      </c>
      <c r="B4" s="76">
        <v>20</v>
      </c>
      <c r="C4" s="76">
        <v>100</v>
      </c>
      <c r="D4" s="76">
        <v>100</v>
      </c>
      <c r="E4" s="79">
        <v>100</v>
      </c>
      <c r="F4" s="79"/>
      <c r="G4" s="79"/>
      <c r="H4" s="79"/>
      <c r="I4" s="79"/>
      <c r="J4" s="79"/>
      <c r="K4" s="81">
        <v>200</v>
      </c>
      <c r="L4" s="85">
        <v>100</v>
      </c>
      <c r="M4" s="85"/>
      <c r="N4" s="85"/>
      <c r="O4" s="85"/>
      <c r="P4" s="84"/>
      <c r="Q4" s="84"/>
      <c r="R4" s="84"/>
      <c r="S4" s="84"/>
      <c r="T4" s="84"/>
      <c r="U4" s="84"/>
      <c r="V4" s="84"/>
      <c r="W4" s="86">
        <v>100</v>
      </c>
      <c r="X4" s="86"/>
      <c r="Y4" s="87">
        <v>100</v>
      </c>
      <c r="Z4" s="87"/>
    </row>
    <row r="5" spans="1:26" ht="15">
      <c r="A5" s="75" t="s">
        <v>166</v>
      </c>
      <c r="B5" s="76">
        <v>137.9</v>
      </c>
      <c r="C5" s="76">
        <v>245.9</v>
      </c>
      <c r="D5" s="76"/>
      <c r="E5" s="79">
        <v>136</v>
      </c>
      <c r="F5" s="79">
        <v>57.8</v>
      </c>
      <c r="G5" s="79">
        <v>62</v>
      </c>
      <c r="H5" s="79"/>
      <c r="I5" s="79"/>
      <c r="J5" s="79"/>
      <c r="K5" s="81">
        <f>200+204.5</f>
        <v>404.5</v>
      </c>
      <c r="L5" s="85">
        <f>1200+16.5</f>
        <v>1216.5</v>
      </c>
      <c r="M5" s="85"/>
      <c r="N5" s="85"/>
      <c r="O5" s="85"/>
      <c r="P5" s="84">
        <v>820</v>
      </c>
      <c r="Q5" s="84">
        <v>308.6</v>
      </c>
      <c r="R5" s="84">
        <v>100</v>
      </c>
      <c r="S5" s="84"/>
      <c r="T5" s="84"/>
      <c r="U5" s="84"/>
      <c r="V5" s="84"/>
      <c r="W5" s="86">
        <v>149</v>
      </c>
      <c r="X5" s="86"/>
      <c r="Y5" s="87">
        <v>74</v>
      </c>
      <c r="Z5" s="87">
        <f>397.6+435</f>
        <v>832.6</v>
      </c>
    </row>
    <row r="6" spans="2:26" ht="15">
      <c r="B6" s="76" t="s">
        <v>61</v>
      </c>
      <c r="C6" s="76" t="s">
        <v>169</v>
      </c>
      <c r="D6" s="76"/>
      <c r="E6" s="79" t="s">
        <v>61</v>
      </c>
      <c r="F6" s="79" t="s">
        <v>173</v>
      </c>
      <c r="G6" s="79" t="s">
        <v>179</v>
      </c>
      <c r="H6" s="79"/>
      <c r="I6" s="79"/>
      <c r="J6" s="79"/>
      <c r="K6" s="81" t="s">
        <v>215</v>
      </c>
      <c r="L6" s="85" t="s">
        <v>186</v>
      </c>
      <c r="M6" s="85"/>
      <c r="N6" s="85"/>
      <c r="O6" s="85"/>
      <c r="P6" s="84" t="s">
        <v>191</v>
      </c>
      <c r="Q6" s="84" t="s">
        <v>192</v>
      </c>
      <c r="R6" s="84" t="s">
        <v>202</v>
      </c>
      <c r="S6" s="84"/>
      <c r="T6" s="84"/>
      <c r="U6" s="84"/>
      <c r="V6" s="84"/>
      <c r="W6" s="86" t="s">
        <v>61</v>
      </c>
      <c r="X6" s="86"/>
      <c r="Y6" s="87" t="s">
        <v>214</v>
      </c>
      <c r="Z6" s="87" t="s">
        <v>210</v>
      </c>
    </row>
    <row r="7" spans="1:26" ht="15">
      <c r="A7" s="75" t="s">
        <v>167</v>
      </c>
      <c r="B7" s="76">
        <f>165+33.5+15</f>
        <v>213.5</v>
      </c>
      <c r="C7" s="76"/>
      <c r="D7" s="76"/>
      <c r="E7" s="79"/>
      <c r="F7" s="79"/>
      <c r="G7" s="79"/>
      <c r="H7" s="79"/>
      <c r="I7" s="79"/>
      <c r="J7" s="79"/>
      <c r="K7" s="81"/>
      <c r="L7" s="85">
        <f>138.84+138.84+180</f>
        <v>457.68</v>
      </c>
      <c r="M7" s="85"/>
      <c r="N7" s="85"/>
      <c r="O7" s="85"/>
      <c r="P7" s="84">
        <v>18.5</v>
      </c>
      <c r="Q7" s="84"/>
      <c r="R7" s="84"/>
      <c r="S7" s="84"/>
      <c r="T7" s="84"/>
      <c r="U7" s="84"/>
      <c r="V7" s="84"/>
      <c r="W7" s="86"/>
      <c r="X7" s="86"/>
      <c r="Y7" s="87">
        <v>648</v>
      </c>
      <c r="Z7" s="87"/>
    </row>
    <row r="8" spans="1:4" ht="124.5" customHeight="1">
      <c r="A8" s="77" t="s">
        <v>101</v>
      </c>
      <c r="C8" s="80">
        <v>220</v>
      </c>
      <c r="D8" s="80">
        <v>116</v>
      </c>
    </row>
    <row r="9" spans="1:4" ht="16.5" customHeight="1">
      <c r="A9" s="77"/>
      <c r="C9" s="80" t="s">
        <v>185</v>
      </c>
      <c r="D9" s="80" t="s">
        <v>209</v>
      </c>
    </row>
    <row r="10" spans="1:3" ht="84" customHeight="1">
      <c r="A10" s="77" t="s">
        <v>102</v>
      </c>
      <c r="B10" s="80">
        <f>219+219</f>
        <v>438</v>
      </c>
      <c r="C10" s="80">
        <v>299.83</v>
      </c>
    </row>
    <row r="11" spans="1:3" ht="18" customHeight="1">
      <c r="A11" s="77"/>
      <c r="B11" s="80" t="s">
        <v>184</v>
      </c>
      <c r="C11" s="80" t="s">
        <v>203</v>
      </c>
    </row>
    <row r="12" spans="1:6" ht="86.25" customHeight="1">
      <c r="A12" s="78" t="s">
        <v>103</v>
      </c>
      <c r="B12" s="80">
        <v>130</v>
      </c>
      <c r="C12" s="80">
        <v>93</v>
      </c>
      <c r="D12" s="80">
        <f>277.01</f>
        <v>277.01</v>
      </c>
      <c r="E12" s="75">
        <v>722</v>
      </c>
      <c r="F12" s="80">
        <v>100</v>
      </c>
    </row>
    <row r="13" spans="1:6" ht="18.75" customHeight="1">
      <c r="A13" s="78"/>
      <c r="B13" s="80" t="s">
        <v>176</v>
      </c>
      <c r="C13" s="80" t="s">
        <v>177</v>
      </c>
      <c r="D13" s="80" t="s">
        <v>198</v>
      </c>
      <c r="E13" s="75" t="s">
        <v>211</v>
      </c>
      <c r="F13" s="80" t="s">
        <v>170</v>
      </c>
    </row>
    <row r="14" spans="1:9" ht="69" customHeight="1">
      <c r="A14" s="78" t="s">
        <v>78</v>
      </c>
      <c r="B14" s="80">
        <v>965.3</v>
      </c>
      <c r="E14" s="80">
        <v>172.1</v>
      </c>
      <c r="F14" s="80">
        <v>539</v>
      </c>
      <c r="G14" s="80">
        <v>272</v>
      </c>
      <c r="H14" s="80">
        <v>478</v>
      </c>
      <c r="I14" s="80">
        <v>511</v>
      </c>
    </row>
    <row r="15" spans="1:9" ht="17.25" customHeight="1">
      <c r="A15" s="78"/>
      <c r="B15" s="80" t="s">
        <v>171</v>
      </c>
      <c r="E15" s="80" t="s">
        <v>172</v>
      </c>
      <c r="F15" s="80" t="s">
        <v>171</v>
      </c>
      <c r="G15" s="80" t="s">
        <v>171</v>
      </c>
      <c r="H15" s="80" t="s">
        <v>171</v>
      </c>
      <c r="I15" s="80" t="s">
        <v>171</v>
      </c>
    </row>
    <row r="16" spans="1:5" ht="45">
      <c r="A16" s="78" t="s">
        <v>79</v>
      </c>
      <c r="B16" s="80">
        <v>102</v>
      </c>
      <c r="E16" s="75"/>
    </row>
    <row r="17" spans="2:5" ht="15">
      <c r="B17" s="80" t="s">
        <v>141</v>
      </c>
      <c r="E17" s="75"/>
    </row>
    <row r="18" spans="1:5" ht="15">
      <c r="A18" s="75" t="s">
        <v>181</v>
      </c>
      <c r="B18" s="80">
        <v>2796</v>
      </c>
      <c r="C18" s="80">
        <f>1060.8+349.89</f>
        <v>1410.69</v>
      </c>
      <c r="D18" s="80">
        <v>415</v>
      </c>
      <c r="E18" s="75"/>
    </row>
    <row r="19" spans="2:5" ht="15">
      <c r="B19" s="80" t="s">
        <v>182</v>
      </c>
      <c r="C19" s="80" t="s">
        <v>187</v>
      </c>
      <c r="D19" s="80" t="s">
        <v>120</v>
      </c>
      <c r="E19" s="75"/>
    </row>
    <row r="20" spans="1:8" ht="75.75" customHeight="1">
      <c r="A20" s="14" t="s">
        <v>119</v>
      </c>
      <c r="B20" s="80">
        <v>459.3</v>
      </c>
      <c r="C20" s="80">
        <f>25.7+24.3</f>
        <v>50</v>
      </c>
      <c r="D20" s="80">
        <v>98</v>
      </c>
      <c r="E20" s="75">
        <v>31.1</v>
      </c>
      <c r="F20" s="80">
        <v>157.25</v>
      </c>
      <c r="G20" s="80">
        <v>180</v>
      </c>
      <c r="H20" s="80">
        <v>99.5</v>
      </c>
    </row>
    <row r="21" spans="2:8" ht="15">
      <c r="B21" s="80" t="s">
        <v>183</v>
      </c>
      <c r="C21" s="80" t="s">
        <v>190</v>
      </c>
      <c r="D21" s="80" t="s">
        <v>197</v>
      </c>
      <c r="E21" s="75" t="s">
        <v>199</v>
      </c>
      <c r="F21" s="80" t="s">
        <v>217</v>
      </c>
      <c r="G21" s="80" t="s">
        <v>206</v>
      </c>
      <c r="H21" s="80" t="s">
        <v>208</v>
      </c>
    </row>
    <row r="22" spans="1:2" ht="45">
      <c r="A22" s="14" t="s">
        <v>111</v>
      </c>
      <c r="B22" s="80">
        <v>84.9</v>
      </c>
    </row>
    <row r="23" ht="15">
      <c r="B23" s="80" t="s">
        <v>193</v>
      </c>
    </row>
    <row r="24" spans="1:2" ht="15">
      <c r="A24" s="75" t="s">
        <v>205</v>
      </c>
      <c r="B24" s="80">
        <f>547.34+84+325+426</f>
        <v>1382.3400000000001</v>
      </c>
    </row>
  </sheetData>
  <sheetProtection/>
  <mergeCells count="6">
    <mergeCell ref="Y1:Z1"/>
    <mergeCell ref="B1:D1"/>
    <mergeCell ref="E1:J1"/>
    <mergeCell ref="L1:O1"/>
    <mergeCell ref="P1:V1"/>
    <mergeCell ref="W1:X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zoomScalePageLayoutView="0" workbookViewId="0" topLeftCell="B10">
      <selection activeCell="E27" sqref="E27"/>
    </sheetView>
  </sheetViews>
  <sheetFormatPr defaultColWidth="9.140625" defaultRowHeight="15"/>
  <cols>
    <col min="2" max="2" width="41.28125" style="0" customWidth="1"/>
    <col min="3" max="3" width="13.00390625" style="0" customWidth="1"/>
    <col min="4" max="4" width="30.421875" style="0" customWidth="1"/>
    <col min="5" max="5" width="23.8515625" style="0" customWidth="1"/>
    <col min="6" max="6" width="43.00390625" style="31" customWidth="1"/>
    <col min="7" max="7" width="9.57421875" style="0" customWidth="1"/>
    <col min="8" max="9" width="10.57421875" style="0" customWidth="1"/>
  </cols>
  <sheetData>
    <row r="1" spans="1:6" ht="50.25" customHeight="1">
      <c r="A1" s="218" t="s">
        <v>132</v>
      </c>
      <c r="B1" s="218"/>
      <c r="C1" s="218"/>
      <c r="D1" s="218"/>
      <c r="E1" s="218"/>
      <c r="F1" s="218"/>
    </row>
    <row r="2" spans="1:6" ht="15">
      <c r="A2" s="219" t="s">
        <v>0</v>
      </c>
      <c r="B2" s="219"/>
      <c r="C2" s="1"/>
      <c r="D2" s="220" t="s">
        <v>133</v>
      </c>
      <c r="E2" s="220"/>
      <c r="F2" s="220"/>
    </row>
    <row r="3" spans="1:6" ht="51.75">
      <c r="A3" s="2"/>
      <c r="B3" s="2"/>
      <c r="C3" s="3" t="s">
        <v>97</v>
      </c>
      <c r="D3" s="4" t="s">
        <v>1</v>
      </c>
      <c r="E3" s="5" t="s">
        <v>2</v>
      </c>
      <c r="F3" s="4" t="s">
        <v>98</v>
      </c>
    </row>
    <row r="4" spans="1:6" ht="17.25" customHeight="1">
      <c r="A4" s="6">
        <v>1</v>
      </c>
      <c r="B4" s="2" t="s">
        <v>124</v>
      </c>
      <c r="C4" s="32">
        <v>196522.99</v>
      </c>
      <c r="D4" s="32">
        <v>874250.58</v>
      </c>
      <c r="E4" s="33">
        <v>838989.12</v>
      </c>
      <c r="F4" s="32">
        <f>C4+D4-E4</f>
        <v>231784.44999999984</v>
      </c>
    </row>
    <row r="5" spans="1:6" ht="17.25" customHeight="1">
      <c r="A5" s="74"/>
      <c r="B5" s="64"/>
      <c r="C5" s="65"/>
      <c r="D5" s="66"/>
      <c r="E5" s="67"/>
      <c r="F5" s="66"/>
    </row>
    <row r="6" spans="1:7" ht="39" customHeight="1">
      <c r="A6" s="4" t="s">
        <v>3</v>
      </c>
      <c r="B6" s="7"/>
      <c r="C6" s="7"/>
      <c r="D6" s="7" t="s">
        <v>4</v>
      </c>
      <c r="E6" s="8" t="s">
        <v>1</v>
      </c>
      <c r="F6" s="7" t="s">
        <v>5</v>
      </c>
      <c r="G6" s="9"/>
    </row>
    <row r="7" spans="1:9" ht="15.75">
      <c r="A7" s="6"/>
      <c r="B7" s="10" t="s">
        <v>6</v>
      </c>
      <c r="C7" s="10"/>
      <c r="D7" s="38"/>
      <c r="E7" s="38"/>
      <c r="F7" s="38"/>
      <c r="I7" s="9"/>
    </row>
    <row r="8" spans="1:6" ht="15">
      <c r="A8" s="6">
        <v>2</v>
      </c>
      <c r="B8" s="2" t="s">
        <v>99</v>
      </c>
      <c r="C8" s="2"/>
      <c r="D8" s="69">
        <v>2520821</v>
      </c>
      <c r="E8" s="69">
        <v>1370010.71</v>
      </c>
      <c r="F8" s="32">
        <f>D8-E8</f>
        <v>1150810.29</v>
      </c>
    </row>
    <row r="9" spans="1:9" ht="30">
      <c r="A9" s="6">
        <v>3</v>
      </c>
      <c r="B9" s="14" t="s">
        <v>7</v>
      </c>
      <c r="C9" s="14"/>
      <c r="D9" s="69">
        <v>202116</v>
      </c>
      <c r="E9" s="70">
        <v>110839.04</v>
      </c>
      <c r="F9" s="32">
        <f>C9+D9-E9</f>
        <v>91276.96</v>
      </c>
      <c r="I9" s="9"/>
    </row>
    <row r="10" spans="1:9" ht="15">
      <c r="A10" s="6"/>
      <c r="B10" s="14" t="s">
        <v>8</v>
      </c>
      <c r="C10" s="14"/>
      <c r="D10" s="69"/>
      <c r="E10" s="70">
        <v>940.44</v>
      </c>
      <c r="F10" s="32"/>
      <c r="I10" s="9"/>
    </row>
    <row r="11" spans="1:9" ht="15">
      <c r="A11" s="6"/>
      <c r="B11" s="14" t="s">
        <v>126</v>
      </c>
      <c r="C11" s="14"/>
      <c r="D11" s="69"/>
      <c r="E11" s="70">
        <v>12242.31</v>
      </c>
      <c r="F11" s="32"/>
      <c r="I11" s="9"/>
    </row>
    <row r="12" spans="1:9" ht="15">
      <c r="A12" s="6"/>
      <c r="B12" s="14" t="s">
        <v>155</v>
      </c>
      <c r="C12" s="14"/>
      <c r="D12" s="69"/>
      <c r="E12" s="70">
        <v>6444.96</v>
      </c>
      <c r="F12" s="32"/>
      <c r="I12" s="9"/>
    </row>
    <row r="13" spans="1:12" ht="15">
      <c r="A13" s="6"/>
      <c r="B13" s="15" t="s">
        <v>9</v>
      </c>
      <c r="C13" s="15"/>
      <c r="D13" s="68">
        <f>SUM(D8:D11)</f>
        <v>2722937</v>
      </c>
      <c r="E13" s="68">
        <f>SUM(E8:E12)</f>
        <v>1500477.46</v>
      </c>
      <c r="F13" s="68">
        <f>SUM(F8:F11)</f>
        <v>1242087.25</v>
      </c>
      <c r="L13" s="16"/>
    </row>
    <row r="14" spans="1:8" ht="15">
      <c r="A14" s="4" t="s">
        <v>3</v>
      </c>
      <c r="B14" s="4"/>
      <c r="C14" s="4"/>
      <c r="D14" s="71" t="s">
        <v>4</v>
      </c>
      <c r="E14" s="72" t="s">
        <v>2</v>
      </c>
      <c r="F14" s="7" t="s">
        <v>5</v>
      </c>
      <c r="H14" s="9"/>
    </row>
    <row r="15" spans="1:6" ht="15.75">
      <c r="A15" s="6">
        <v>4</v>
      </c>
      <c r="B15" s="10" t="s">
        <v>10</v>
      </c>
      <c r="C15" s="10"/>
      <c r="D15" s="11"/>
      <c r="E15" s="12"/>
      <c r="F15" s="13"/>
    </row>
    <row r="16" spans="1:6" ht="15">
      <c r="A16" s="17" t="s">
        <v>11</v>
      </c>
      <c r="B16" s="18" t="s">
        <v>12</v>
      </c>
      <c r="C16" s="39"/>
      <c r="D16" s="39">
        <v>1271400</v>
      </c>
      <c r="E16" s="40">
        <f>SUM(E17:E28)</f>
        <v>434132.05000000005</v>
      </c>
      <c r="F16" s="39">
        <f>D16-E16</f>
        <v>837267.95</v>
      </c>
    </row>
    <row r="17" spans="1:9" ht="15">
      <c r="A17" s="20"/>
      <c r="B17" s="2" t="s">
        <v>13</v>
      </c>
      <c r="C17" s="37"/>
      <c r="D17" s="34"/>
      <c r="E17" s="41"/>
      <c r="F17" s="37" t="s">
        <v>156</v>
      </c>
      <c r="I17" s="9"/>
    </row>
    <row r="18" spans="1:8" ht="15">
      <c r="A18" s="20"/>
      <c r="B18" s="2" t="s">
        <v>14</v>
      </c>
      <c r="C18" s="37"/>
      <c r="D18" s="35"/>
      <c r="E18" s="41"/>
      <c r="F18" s="37" t="s">
        <v>156</v>
      </c>
      <c r="H18" s="9"/>
    </row>
    <row r="19" spans="1:6" ht="15">
      <c r="A19" s="20"/>
      <c r="B19" s="2" t="s">
        <v>15</v>
      </c>
      <c r="C19" s="37"/>
      <c r="D19" s="35"/>
      <c r="E19" s="41"/>
      <c r="F19" s="37"/>
    </row>
    <row r="20" spans="1:9" ht="15">
      <c r="A20" s="20"/>
      <c r="B20" s="2" t="s">
        <v>16</v>
      </c>
      <c r="C20" s="37"/>
      <c r="D20" s="35"/>
      <c r="E20" s="41"/>
      <c r="F20" s="37" t="s">
        <v>123</v>
      </c>
      <c r="I20" s="9"/>
    </row>
    <row r="21" spans="1:6" ht="15">
      <c r="A21" s="20"/>
      <c r="B21" s="2" t="s">
        <v>17</v>
      </c>
      <c r="C21" s="37"/>
      <c r="D21" s="35"/>
      <c r="E21" s="41"/>
      <c r="F21" s="37" t="s">
        <v>157</v>
      </c>
    </row>
    <row r="22" spans="1:6" ht="15">
      <c r="A22" s="20"/>
      <c r="B22" s="2" t="s">
        <v>18</v>
      </c>
      <c r="C22" s="37"/>
      <c r="D22" s="35"/>
      <c r="E22" s="41"/>
      <c r="F22" s="37" t="s">
        <v>123</v>
      </c>
    </row>
    <row r="23" spans="1:7" ht="15">
      <c r="A23" s="20"/>
      <c r="B23" s="2" t="s">
        <v>19</v>
      </c>
      <c r="C23" s="37"/>
      <c r="D23" s="35"/>
      <c r="E23" s="41"/>
      <c r="F23" s="37" t="s">
        <v>123</v>
      </c>
      <c r="G23" s="16"/>
    </row>
    <row r="24" spans="1:7" ht="15">
      <c r="A24" s="20"/>
      <c r="B24" s="2" t="s">
        <v>20</v>
      </c>
      <c r="C24" s="37"/>
      <c r="D24" s="35"/>
      <c r="E24" s="41">
        <f>133193.38-20000-2299-1724</f>
        <v>109170.38</v>
      </c>
      <c r="F24" s="37"/>
      <c r="G24" s="16"/>
    </row>
    <row r="25" spans="1:7" ht="15">
      <c r="A25" s="20"/>
      <c r="B25" s="2" t="s">
        <v>21</v>
      </c>
      <c r="C25" s="37"/>
      <c r="D25" s="35"/>
      <c r="E25" s="41">
        <f>106192.96-22138-2299</f>
        <v>81755.96</v>
      </c>
      <c r="F25" s="37"/>
      <c r="G25" s="16"/>
    </row>
    <row r="26" spans="1:7" ht="15">
      <c r="A26" s="20"/>
      <c r="B26" s="2" t="s">
        <v>22</v>
      </c>
      <c r="C26" s="37"/>
      <c r="D26" s="35"/>
      <c r="E26" s="41">
        <f>111823-11494-920-1034</f>
        <v>98375</v>
      </c>
      <c r="F26" s="37"/>
      <c r="G26" s="16"/>
    </row>
    <row r="27" spans="1:7" ht="15">
      <c r="A27" s="20"/>
      <c r="B27" s="2" t="s">
        <v>23</v>
      </c>
      <c r="C27" s="37"/>
      <c r="D27" s="35"/>
      <c r="E27" s="41">
        <f>143564.71+1266</f>
        <v>144830.71</v>
      </c>
      <c r="F27" s="37"/>
      <c r="G27" s="16"/>
    </row>
    <row r="28" spans="1:6" ht="15">
      <c r="A28" s="20"/>
      <c r="B28" s="2" t="s">
        <v>30</v>
      </c>
      <c r="C28" s="37"/>
      <c r="D28" s="35"/>
      <c r="E28" s="41"/>
      <c r="F28" s="37"/>
    </row>
    <row r="29" spans="1:8" ht="15">
      <c r="A29" s="17" t="s">
        <v>24</v>
      </c>
      <c r="B29" s="18" t="s">
        <v>25</v>
      </c>
      <c r="C29" s="39"/>
      <c r="D29" s="39">
        <v>120000</v>
      </c>
      <c r="E29" s="40">
        <f>SUM(E30:E41)</f>
        <v>20000</v>
      </c>
      <c r="F29" s="39">
        <f>D29-E29</f>
        <v>100000</v>
      </c>
      <c r="H29" s="9"/>
    </row>
    <row r="30" spans="1:6" ht="15">
      <c r="A30" s="20"/>
      <c r="B30" s="21" t="s">
        <v>13</v>
      </c>
      <c r="C30" s="58"/>
      <c r="D30" s="34"/>
      <c r="E30" s="42"/>
      <c r="F30" s="32"/>
    </row>
    <row r="31" spans="1:6" ht="15">
      <c r="A31" s="20"/>
      <c r="B31" s="2" t="s">
        <v>14</v>
      </c>
      <c r="C31" s="37"/>
      <c r="D31" s="35"/>
      <c r="E31" s="41"/>
      <c r="F31" s="37"/>
    </row>
    <row r="32" spans="1:8" ht="15">
      <c r="A32" s="20"/>
      <c r="B32" s="2" t="s">
        <v>15</v>
      </c>
      <c r="C32" s="37"/>
      <c r="D32" s="35"/>
      <c r="E32" s="36"/>
      <c r="F32" s="37"/>
      <c r="H32" s="9"/>
    </row>
    <row r="33" spans="1:8" ht="15">
      <c r="A33" s="20"/>
      <c r="B33" s="2" t="s">
        <v>16</v>
      </c>
      <c r="C33" s="37"/>
      <c r="D33" s="35"/>
      <c r="E33" s="36"/>
      <c r="F33" s="37"/>
      <c r="H33" s="9"/>
    </row>
    <row r="34" spans="1:8" ht="15">
      <c r="A34" s="20"/>
      <c r="B34" s="2" t="s">
        <v>17</v>
      </c>
      <c r="C34" s="37"/>
      <c r="D34" s="35"/>
      <c r="E34" s="41"/>
      <c r="F34" s="37" t="s">
        <v>122</v>
      </c>
      <c r="H34" s="9"/>
    </row>
    <row r="35" spans="1:8" ht="15">
      <c r="A35" s="20"/>
      <c r="B35" s="2" t="s">
        <v>18</v>
      </c>
      <c r="C35" s="37"/>
      <c r="D35" s="35"/>
      <c r="E35" s="36"/>
      <c r="F35" s="37"/>
      <c r="H35" s="9"/>
    </row>
    <row r="36" spans="1:8" ht="15">
      <c r="A36" s="20"/>
      <c r="B36" s="21" t="s">
        <v>19</v>
      </c>
      <c r="C36" s="58"/>
      <c r="D36" s="35"/>
      <c r="E36" s="36"/>
      <c r="F36" s="37"/>
      <c r="H36" s="9"/>
    </row>
    <row r="37" spans="1:9" ht="15">
      <c r="A37" s="20"/>
      <c r="B37" s="2" t="s">
        <v>20</v>
      </c>
      <c r="C37" s="37"/>
      <c r="D37" s="35"/>
      <c r="E37" s="36">
        <v>20000</v>
      </c>
      <c r="F37" s="37"/>
      <c r="I37" s="9"/>
    </row>
    <row r="38" spans="1:8" ht="15">
      <c r="A38" s="20"/>
      <c r="B38" s="2" t="s">
        <v>21</v>
      </c>
      <c r="C38" s="37"/>
      <c r="D38" s="35"/>
      <c r="E38" s="41"/>
      <c r="F38" s="37"/>
      <c r="H38" s="9"/>
    </row>
    <row r="39" spans="1:8" ht="15">
      <c r="A39" s="20"/>
      <c r="B39" s="2" t="s">
        <v>22</v>
      </c>
      <c r="C39" s="37"/>
      <c r="D39" s="35"/>
      <c r="E39" s="41"/>
      <c r="F39" s="37"/>
      <c r="H39" s="9"/>
    </row>
    <row r="40" spans="1:8" ht="15">
      <c r="A40" s="20"/>
      <c r="B40" s="2" t="s">
        <v>23</v>
      </c>
      <c r="C40" s="37"/>
      <c r="D40" s="35"/>
      <c r="E40" s="41"/>
      <c r="F40" s="37"/>
      <c r="H40" s="9"/>
    </row>
    <row r="41" spans="1:8" ht="15">
      <c r="A41" s="20"/>
      <c r="B41" s="2" t="s">
        <v>26</v>
      </c>
      <c r="C41" s="37"/>
      <c r="D41" s="35"/>
      <c r="E41" s="41"/>
      <c r="F41" s="37"/>
      <c r="H41" s="9"/>
    </row>
    <row r="42" spans="1:8" ht="26.25">
      <c r="A42" s="17" t="s">
        <v>27</v>
      </c>
      <c r="B42" s="22" t="s">
        <v>28</v>
      </c>
      <c r="C42" s="59"/>
      <c r="D42" s="39">
        <v>48000</v>
      </c>
      <c r="E42" s="40">
        <f>SUM(E43:E54)</f>
        <v>12414</v>
      </c>
      <c r="F42" s="39">
        <f>D42-E42</f>
        <v>35586</v>
      </c>
      <c r="H42" s="9"/>
    </row>
    <row r="43" spans="1:6" ht="15">
      <c r="A43" s="20"/>
      <c r="B43" s="21" t="s">
        <v>13</v>
      </c>
      <c r="C43" s="58"/>
      <c r="D43" s="35"/>
      <c r="E43" s="41"/>
      <c r="F43" s="13"/>
    </row>
    <row r="44" spans="1:6" ht="15">
      <c r="A44" s="20"/>
      <c r="B44" s="2" t="s">
        <v>14</v>
      </c>
      <c r="C44" s="37"/>
      <c r="D44" s="35"/>
      <c r="E44" s="41"/>
      <c r="F44" s="13" t="s">
        <v>159</v>
      </c>
    </row>
    <row r="45" spans="1:8" ht="15">
      <c r="A45" s="20"/>
      <c r="B45" s="2" t="s">
        <v>15</v>
      </c>
      <c r="C45" s="37"/>
      <c r="D45" s="35"/>
      <c r="E45" s="41"/>
      <c r="F45" s="13"/>
      <c r="H45" s="9"/>
    </row>
    <row r="46" spans="1:6" ht="15">
      <c r="A46" s="20"/>
      <c r="B46" s="2" t="s">
        <v>16</v>
      </c>
      <c r="C46" s="37"/>
      <c r="D46" s="35"/>
      <c r="E46" s="41"/>
      <c r="F46" s="27" t="s">
        <v>160</v>
      </c>
    </row>
    <row r="47" spans="1:6" ht="15">
      <c r="A47" s="20"/>
      <c r="B47" s="2" t="s">
        <v>17</v>
      </c>
      <c r="C47" s="37"/>
      <c r="D47" s="35"/>
      <c r="E47" s="41"/>
      <c r="F47" s="13" t="s">
        <v>162</v>
      </c>
    </row>
    <row r="48" spans="1:6" ht="15">
      <c r="A48" s="20"/>
      <c r="B48" s="2" t="s">
        <v>18</v>
      </c>
      <c r="C48" s="37"/>
      <c r="D48" s="35"/>
      <c r="E48" s="36"/>
      <c r="F48" s="13" t="s">
        <v>162</v>
      </c>
    </row>
    <row r="49" spans="1:6" ht="15">
      <c r="A49" s="20"/>
      <c r="B49" s="21" t="s">
        <v>19</v>
      </c>
      <c r="C49" s="58"/>
      <c r="D49" s="35"/>
      <c r="E49" s="43"/>
      <c r="F49" s="23"/>
    </row>
    <row r="50" spans="1:6" ht="15">
      <c r="A50" s="20"/>
      <c r="B50" s="2" t="s">
        <v>20</v>
      </c>
      <c r="C50" s="37"/>
      <c r="D50" s="35"/>
      <c r="E50" s="36"/>
      <c r="F50" s="13"/>
    </row>
    <row r="51" spans="1:6" ht="15">
      <c r="A51" s="20"/>
      <c r="B51" s="2" t="s">
        <v>21</v>
      </c>
      <c r="C51" s="37"/>
      <c r="D51" s="35"/>
      <c r="E51" s="41"/>
      <c r="F51" s="13"/>
    </row>
    <row r="52" spans="1:6" ht="15">
      <c r="A52" s="20"/>
      <c r="B52" s="2" t="s">
        <v>22</v>
      </c>
      <c r="C52" s="37"/>
      <c r="D52" s="35"/>
      <c r="E52" s="36">
        <v>12414</v>
      </c>
      <c r="F52" s="13"/>
    </row>
    <row r="53" spans="1:6" ht="15">
      <c r="A53" s="20"/>
      <c r="B53" s="2" t="s">
        <v>23</v>
      </c>
      <c r="C53" s="37"/>
      <c r="D53" s="35"/>
      <c r="E53" s="41"/>
      <c r="F53" s="13"/>
    </row>
    <row r="54" spans="1:6" ht="15">
      <c r="A54" s="20"/>
      <c r="B54" s="2" t="s">
        <v>26</v>
      </c>
      <c r="C54" s="37"/>
      <c r="D54" s="35"/>
      <c r="E54" s="41"/>
      <c r="F54" s="13"/>
    </row>
    <row r="55" spans="1:6" ht="15">
      <c r="A55" s="17" t="s">
        <v>29</v>
      </c>
      <c r="B55" s="18" t="s">
        <v>125</v>
      </c>
      <c r="C55" s="39"/>
      <c r="D55" s="39">
        <v>294120</v>
      </c>
      <c r="E55" s="40">
        <f>SUM(E56:E67)</f>
        <v>97973.51</v>
      </c>
      <c r="F55" s="39">
        <f>D55-E55</f>
        <v>196146.49</v>
      </c>
    </row>
    <row r="56" spans="1:6" ht="15">
      <c r="A56" s="20"/>
      <c r="B56" s="21" t="s">
        <v>13</v>
      </c>
      <c r="C56" s="58"/>
      <c r="D56" s="35"/>
      <c r="E56" s="41"/>
      <c r="F56" s="37"/>
    </row>
    <row r="57" spans="1:6" ht="15">
      <c r="A57" s="20"/>
      <c r="B57" s="2" t="s">
        <v>14</v>
      </c>
      <c r="C57" s="37"/>
      <c r="D57" s="35"/>
      <c r="E57" s="41"/>
      <c r="F57" s="37"/>
    </row>
    <row r="58" spans="1:6" ht="15">
      <c r="A58" s="20"/>
      <c r="B58" s="2" t="s">
        <v>15</v>
      </c>
      <c r="C58" s="37"/>
      <c r="D58" s="35"/>
      <c r="E58" s="35"/>
      <c r="F58" s="37"/>
    </row>
    <row r="59" spans="1:6" ht="15">
      <c r="A59" s="20"/>
      <c r="B59" s="2" t="s">
        <v>16</v>
      </c>
      <c r="C59" s="37"/>
      <c r="D59" s="35"/>
      <c r="E59" s="35"/>
      <c r="F59" s="37"/>
    </row>
    <row r="60" spans="1:6" ht="15">
      <c r="A60" s="20"/>
      <c r="B60" s="2" t="s">
        <v>17</v>
      </c>
      <c r="C60" s="37"/>
      <c r="D60" s="35"/>
      <c r="E60" s="41"/>
      <c r="F60" s="37"/>
    </row>
    <row r="61" spans="1:6" ht="15">
      <c r="A61" s="20"/>
      <c r="B61" s="2" t="s">
        <v>18</v>
      </c>
      <c r="C61" s="37"/>
      <c r="D61" s="35"/>
      <c r="E61" s="35"/>
      <c r="F61" s="37"/>
    </row>
    <row r="62" spans="1:6" ht="15">
      <c r="A62" s="20"/>
      <c r="B62" s="21" t="s">
        <v>19</v>
      </c>
      <c r="C62" s="58"/>
      <c r="D62" s="35"/>
      <c r="E62" s="41"/>
      <c r="F62" s="37"/>
    </row>
    <row r="63" spans="1:6" ht="15">
      <c r="A63" s="20"/>
      <c r="B63" s="2" t="s">
        <v>20</v>
      </c>
      <c r="C63" s="37"/>
      <c r="D63" s="44"/>
      <c r="E63" s="35">
        <v>26897</v>
      </c>
      <c r="F63" s="37"/>
    </row>
    <row r="64" spans="1:6" ht="15">
      <c r="A64" s="20"/>
      <c r="B64" s="2" t="s">
        <v>21</v>
      </c>
      <c r="C64" s="37"/>
      <c r="D64" s="35"/>
      <c r="E64" s="35">
        <v>21402.1</v>
      </c>
      <c r="F64" s="37"/>
    </row>
    <row r="65" spans="1:6" ht="15">
      <c r="A65" s="20"/>
      <c r="B65" s="2" t="s">
        <v>22</v>
      </c>
      <c r="C65" s="37"/>
      <c r="D65" s="35"/>
      <c r="E65" s="35">
        <f>26994.25-4432.9</f>
        <v>22561.35</v>
      </c>
      <c r="F65" s="37"/>
    </row>
    <row r="66" spans="1:6" ht="15">
      <c r="A66" s="20"/>
      <c r="B66" s="2" t="s">
        <v>23</v>
      </c>
      <c r="C66" s="37"/>
      <c r="D66" s="35"/>
      <c r="E66" s="35">
        <f>32020.91-4907.85</f>
        <v>27113.059999999998</v>
      </c>
      <c r="F66" s="37"/>
    </row>
    <row r="67" spans="1:6" ht="15">
      <c r="A67" s="20"/>
      <c r="B67" s="2" t="s">
        <v>30</v>
      </c>
      <c r="C67" s="37"/>
      <c r="D67" s="35"/>
      <c r="E67" s="35"/>
      <c r="F67" s="37"/>
    </row>
    <row r="68" spans="1:6" ht="15">
      <c r="A68" s="17"/>
      <c r="B68" s="18" t="s">
        <v>31</v>
      </c>
      <c r="C68" s="39"/>
      <c r="D68" s="39">
        <v>70800</v>
      </c>
      <c r="E68" s="40">
        <f>SUM(E69:E70)</f>
        <v>0</v>
      </c>
      <c r="F68" s="39">
        <f>D68-E68</f>
        <v>70800</v>
      </c>
    </row>
    <row r="69" spans="1:6" ht="15">
      <c r="A69" s="20"/>
      <c r="B69" s="2" t="s">
        <v>32</v>
      </c>
      <c r="C69" s="37"/>
      <c r="D69" s="35"/>
      <c r="E69" s="36"/>
      <c r="F69" s="37" t="s">
        <v>161</v>
      </c>
    </row>
    <row r="70" spans="1:6" ht="15">
      <c r="A70" s="20"/>
      <c r="B70" s="2" t="s">
        <v>134</v>
      </c>
      <c r="C70" s="37"/>
      <c r="D70" s="35"/>
      <c r="E70" s="36"/>
      <c r="F70" s="37"/>
    </row>
    <row r="71" spans="1:6" ht="15">
      <c r="A71" s="17" t="s">
        <v>33</v>
      </c>
      <c r="B71" s="18" t="s">
        <v>34</v>
      </c>
      <c r="C71" s="39"/>
      <c r="D71" s="39">
        <v>24000</v>
      </c>
      <c r="E71" s="40">
        <f>SUM(E72:E83)</f>
        <v>6429.35</v>
      </c>
      <c r="F71" s="39">
        <f>D71-E71</f>
        <v>17570.65</v>
      </c>
    </row>
    <row r="72" spans="1:6" ht="15">
      <c r="A72" s="20"/>
      <c r="B72" s="21" t="s">
        <v>13</v>
      </c>
      <c r="C72" s="58"/>
      <c r="D72" s="35"/>
      <c r="E72" s="41"/>
      <c r="F72" s="37"/>
    </row>
    <row r="73" spans="1:6" ht="15">
      <c r="A73" s="20"/>
      <c r="B73" s="2" t="s">
        <v>14</v>
      </c>
      <c r="C73" s="37"/>
      <c r="D73" s="35"/>
      <c r="E73" s="41"/>
      <c r="F73" s="37"/>
    </row>
    <row r="74" spans="1:6" ht="15">
      <c r="A74" s="20"/>
      <c r="B74" s="2" t="s">
        <v>15</v>
      </c>
      <c r="C74" s="37"/>
      <c r="D74" s="35"/>
      <c r="E74" s="45"/>
      <c r="F74" s="37"/>
    </row>
    <row r="75" spans="1:6" ht="15">
      <c r="A75" s="20"/>
      <c r="B75" s="2" t="s">
        <v>16</v>
      </c>
      <c r="C75" s="37"/>
      <c r="D75" s="35"/>
      <c r="E75" s="45"/>
      <c r="F75" s="37"/>
    </row>
    <row r="76" spans="1:6" ht="15">
      <c r="A76" s="20"/>
      <c r="B76" s="2" t="s">
        <v>17</v>
      </c>
      <c r="C76" s="37"/>
      <c r="D76" s="35"/>
      <c r="E76" s="35"/>
      <c r="F76" s="37"/>
    </row>
    <row r="77" spans="1:6" ht="15">
      <c r="A77" s="20"/>
      <c r="B77" s="2" t="s">
        <v>18</v>
      </c>
      <c r="C77" s="37"/>
      <c r="D77" s="35"/>
      <c r="E77" s="35"/>
      <c r="F77" s="37"/>
    </row>
    <row r="78" spans="1:6" ht="15">
      <c r="A78" s="20"/>
      <c r="B78" s="21" t="s">
        <v>19</v>
      </c>
      <c r="C78" s="58"/>
      <c r="D78" s="35"/>
      <c r="E78" s="35"/>
      <c r="F78" s="37"/>
    </row>
    <row r="79" spans="1:6" ht="15">
      <c r="A79" s="20"/>
      <c r="B79" s="2" t="s">
        <v>20</v>
      </c>
      <c r="C79" s="37"/>
      <c r="D79" s="35"/>
      <c r="E79" s="35">
        <f>68.27+120+30+100+274.46+500</f>
        <v>1092.73</v>
      </c>
      <c r="F79" s="37"/>
    </row>
    <row r="80" spans="1:6" ht="15">
      <c r="A80" s="20"/>
      <c r="B80" s="2" t="s">
        <v>21</v>
      </c>
      <c r="C80" s="37"/>
      <c r="D80" s="44"/>
      <c r="E80" s="35">
        <f>90+30+37.8+100+234.45+500</f>
        <v>992.25</v>
      </c>
      <c r="F80" s="37"/>
    </row>
    <row r="81" spans="1:6" ht="15">
      <c r="A81" s="20"/>
      <c r="B81" s="2" t="s">
        <v>22</v>
      </c>
      <c r="C81" s="37"/>
      <c r="D81" s="35"/>
      <c r="E81" s="35">
        <f>100+90+30+2000+200+292.95+500</f>
        <v>3212.95</v>
      </c>
      <c r="F81" s="37"/>
    </row>
    <row r="82" spans="1:6" ht="15">
      <c r="A82" s="20"/>
      <c r="B82" s="2" t="s">
        <v>23</v>
      </c>
      <c r="C82" s="37"/>
      <c r="D82" s="35"/>
      <c r="E82" s="35">
        <f>30+29.64+30+90+100+321.78+500+30</f>
        <v>1131.42</v>
      </c>
      <c r="F82" s="37"/>
    </row>
    <row r="83" spans="1:6" ht="15">
      <c r="A83" s="20"/>
      <c r="B83" s="2" t="s">
        <v>30</v>
      </c>
      <c r="C83" s="37"/>
      <c r="D83" s="35"/>
      <c r="E83" s="35"/>
      <c r="F83" s="37"/>
    </row>
    <row r="84" spans="1:6" ht="15">
      <c r="A84" s="17" t="s">
        <v>35</v>
      </c>
      <c r="B84" s="18" t="s">
        <v>36</v>
      </c>
      <c r="C84" s="39"/>
      <c r="D84" s="39">
        <v>9600</v>
      </c>
      <c r="E84" s="39">
        <f>SUM(E85:E114)</f>
        <v>2361.5</v>
      </c>
      <c r="F84" s="39">
        <f>D84-E84</f>
        <v>7238.5</v>
      </c>
    </row>
    <row r="85" spans="1:6" ht="15">
      <c r="A85" s="20"/>
      <c r="B85" s="21" t="s">
        <v>37</v>
      </c>
      <c r="C85" s="58"/>
      <c r="D85" s="35"/>
      <c r="E85" s="35"/>
      <c r="F85" s="37"/>
    </row>
    <row r="86" spans="1:6" ht="15">
      <c r="A86" s="20"/>
      <c r="B86" s="21" t="s">
        <v>117</v>
      </c>
      <c r="C86" s="58"/>
      <c r="D86" s="35"/>
      <c r="E86" s="35"/>
      <c r="F86" s="37"/>
    </row>
    <row r="87" spans="1:6" ht="15">
      <c r="A87" s="20"/>
      <c r="B87" s="2" t="s">
        <v>38</v>
      </c>
      <c r="C87" s="37"/>
      <c r="D87" s="35"/>
      <c r="E87" s="45"/>
      <c r="F87" s="37"/>
    </row>
    <row r="88" spans="1:6" ht="15">
      <c r="A88" s="20"/>
      <c r="B88" s="2" t="s">
        <v>39</v>
      </c>
      <c r="C88" s="37"/>
      <c r="D88" s="35"/>
      <c r="E88" s="45"/>
      <c r="F88" s="37"/>
    </row>
    <row r="89" spans="1:6" ht="15">
      <c r="A89" s="20"/>
      <c r="B89" s="2" t="s">
        <v>40</v>
      </c>
      <c r="C89" s="37"/>
      <c r="D89" s="35"/>
      <c r="E89" s="35"/>
      <c r="F89" s="37"/>
    </row>
    <row r="90" spans="1:6" ht="15">
      <c r="A90" s="20"/>
      <c r="B90" s="2" t="s">
        <v>41</v>
      </c>
      <c r="C90" s="37"/>
      <c r="D90" s="35"/>
      <c r="E90" s="45"/>
      <c r="F90" s="37"/>
    </row>
    <row r="91" spans="1:8" ht="15">
      <c r="A91" s="20"/>
      <c r="B91" s="2" t="s">
        <v>42</v>
      </c>
      <c r="C91" s="37"/>
      <c r="D91" s="62"/>
      <c r="E91" s="35"/>
      <c r="F91" s="37"/>
      <c r="H91" s="9"/>
    </row>
    <row r="92" spans="1:8" ht="15">
      <c r="A92" s="20"/>
      <c r="B92" s="2" t="s">
        <v>149</v>
      </c>
      <c r="C92" s="37"/>
      <c r="D92" s="44"/>
      <c r="E92" s="35"/>
      <c r="F92" s="37"/>
      <c r="H92" s="9"/>
    </row>
    <row r="93" spans="1:6" ht="15">
      <c r="A93" s="20"/>
      <c r="B93" s="2" t="s">
        <v>43</v>
      </c>
      <c r="C93" s="37"/>
      <c r="D93" s="35"/>
      <c r="E93" s="45"/>
      <c r="F93" s="37"/>
    </row>
    <row r="94" spans="1:6" ht="15">
      <c r="A94" s="20"/>
      <c r="B94" s="2" t="s">
        <v>44</v>
      </c>
      <c r="C94" s="37"/>
      <c r="D94" s="35"/>
      <c r="E94" s="45"/>
      <c r="F94" s="37"/>
    </row>
    <row r="95" spans="1:6" ht="15">
      <c r="A95" s="20"/>
      <c r="B95" s="2" t="s">
        <v>45</v>
      </c>
      <c r="C95" s="37"/>
      <c r="D95" s="44"/>
      <c r="E95" s="35"/>
      <c r="F95" s="37"/>
    </row>
    <row r="96" spans="1:6" ht="15">
      <c r="A96" s="20"/>
      <c r="B96" s="2" t="s">
        <v>46</v>
      </c>
      <c r="C96" s="37"/>
      <c r="D96" s="35"/>
      <c r="E96" s="45"/>
      <c r="F96" s="37"/>
    </row>
    <row r="97" spans="1:6" ht="15">
      <c r="A97" s="20"/>
      <c r="B97" s="21" t="s">
        <v>127</v>
      </c>
      <c r="C97" s="58"/>
      <c r="D97" s="35"/>
      <c r="E97" s="35">
        <f>7.84+445.54</f>
        <v>453.38</v>
      </c>
      <c r="F97" s="37"/>
    </row>
    <row r="98" spans="1:6" ht="15">
      <c r="A98" s="20"/>
      <c r="B98" s="21" t="s">
        <v>47</v>
      </c>
      <c r="C98" s="58"/>
      <c r="D98" s="35"/>
      <c r="E98" s="45"/>
      <c r="F98" s="37"/>
    </row>
    <row r="99" spans="1:6" ht="15">
      <c r="A99" s="20"/>
      <c r="B99" s="2" t="s">
        <v>48</v>
      </c>
      <c r="C99" s="37"/>
      <c r="D99" s="44"/>
      <c r="E99" s="45">
        <v>479.62</v>
      </c>
      <c r="F99" s="37"/>
    </row>
    <row r="100" spans="1:6" ht="15">
      <c r="A100" s="20"/>
      <c r="B100" s="2" t="s">
        <v>49</v>
      </c>
      <c r="C100" s="37"/>
      <c r="D100" s="35"/>
      <c r="E100" s="98"/>
      <c r="F100" s="37"/>
    </row>
    <row r="101" spans="1:6" ht="15">
      <c r="A101" s="20"/>
      <c r="B101" s="2" t="s">
        <v>21</v>
      </c>
      <c r="C101" s="37"/>
      <c r="D101" s="35"/>
      <c r="E101" s="97"/>
      <c r="F101" s="37"/>
    </row>
    <row r="102" spans="1:6" ht="15">
      <c r="A102" s="20"/>
      <c r="B102" s="2" t="s">
        <v>50</v>
      </c>
      <c r="C102" s="37"/>
      <c r="D102" s="35"/>
      <c r="E102" s="96">
        <v>428.5</v>
      </c>
      <c r="F102" s="37"/>
    </row>
    <row r="103" spans="1:6" ht="15">
      <c r="A103" s="20"/>
      <c r="B103" s="2" t="s">
        <v>51</v>
      </c>
      <c r="C103" s="37"/>
      <c r="D103" s="35"/>
      <c r="E103" s="45"/>
      <c r="F103" s="37"/>
    </row>
    <row r="104" spans="1:7" ht="15">
      <c r="A104" s="20"/>
      <c r="B104" s="2" t="s">
        <v>52</v>
      </c>
      <c r="C104" s="37"/>
      <c r="D104" s="35"/>
      <c r="E104" s="35">
        <v>1000</v>
      </c>
      <c r="F104" s="37"/>
      <c r="G104" s="16"/>
    </row>
    <row r="105" spans="1:6" ht="15">
      <c r="A105" s="20"/>
      <c r="B105" s="2" t="s">
        <v>53</v>
      </c>
      <c r="C105" s="37"/>
      <c r="D105" s="44"/>
      <c r="E105" s="45"/>
      <c r="F105" s="37"/>
    </row>
    <row r="106" spans="1:6" ht="15">
      <c r="A106" s="20"/>
      <c r="B106" s="2" t="s">
        <v>54</v>
      </c>
      <c r="C106" s="37"/>
      <c r="D106" s="35"/>
      <c r="E106" s="45"/>
      <c r="F106" s="37"/>
    </row>
    <row r="107" spans="1:6" ht="15">
      <c r="A107" s="20"/>
      <c r="B107" s="57" t="s">
        <v>118</v>
      </c>
      <c r="C107" s="37"/>
      <c r="D107" s="35"/>
      <c r="E107" s="45"/>
      <c r="F107" s="37"/>
    </row>
    <row r="108" spans="1:6" ht="15">
      <c r="A108" s="20"/>
      <c r="B108" s="21" t="s">
        <v>13</v>
      </c>
      <c r="C108" s="37"/>
      <c r="D108" s="35"/>
      <c r="E108" s="35"/>
      <c r="F108" s="37"/>
    </row>
    <row r="109" spans="1:6" ht="15">
      <c r="A109" s="20"/>
      <c r="B109" s="21" t="s">
        <v>14</v>
      </c>
      <c r="C109" s="37"/>
      <c r="D109" s="35"/>
      <c r="E109" s="35"/>
      <c r="F109" s="37"/>
    </row>
    <row r="110" spans="1:6" ht="15">
      <c r="A110" s="20"/>
      <c r="B110" s="21" t="s">
        <v>15</v>
      </c>
      <c r="C110" s="37"/>
      <c r="D110" s="35"/>
      <c r="E110" s="35"/>
      <c r="F110" s="37"/>
    </row>
    <row r="111" spans="1:6" ht="15">
      <c r="A111" s="20"/>
      <c r="B111" s="21" t="s">
        <v>16</v>
      </c>
      <c r="C111" s="37"/>
      <c r="D111" s="35"/>
      <c r="E111" s="35"/>
      <c r="F111" s="37"/>
    </row>
    <row r="112" spans="1:6" ht="15">
      <c r="A112" s="20"/>
      <c r="B112" s="21" t="s">
        <v>17</v>
      </c>
      <c r="C112" s="37"/>
      <c r="D112" s="35"/>
      <c r="E112" s="35"/>
      <c r="F112" s="37"/>
    </row>
    <row r="113" spans="1:6" ht="15">
      <c r="A113" s="20"/>
      <c r="B113" s="21" t="s">
        <v>18</v>
      </c>
      <c r="C113" s="37"/>
      <c r="D113" s="35"/>
      <c r="E113" s="35"/>
      <c r="F113" s="37"/>
    </row>
    <row r="114" spans="1:6" ht="15">
      <c r="A114" s="20"/>
      <c r="B114" s="21" t="s">
        <v>19</v>
      </c>
      <c r="C114" s="37"/>
      <c r="D114" s="35"/>
      <c r="E114" s="35"/>
      <c r="F114" s="37"/>
    </row>
    <row r="115" spans="1:6" ht="15">
      <c r="A115" s="17" t="s">
        <v>55</v>
      </c>
      <c r="B115" s="18" t="s">
        <v>56</v>
      </c>
      <c r="C115" s="39"/>
      <c r="D115" s="39">
        <v>96000</v>
      </c>
      <c r="E115" s="39">
        <f>SUM(E116:E126)</f>
        <v>48081.08</v>
      </c>
      <c r="F115" s="39">
        <f>D115-E115</f>
        <v>47918.92</v>
      </c>
    </row>
    <row r="116" spans="1:6" ht="15">
      <c r="A116" s="20"/>
      <c r="B116" s="21" t="s">
        <v>13</v>
      </c>
      <c r="C116" s="58"/>
      <c r="D116" s="35"/>
      <c r="E116" s="45"/>
      <c r="F116" s="37"/>
    </row>
    <row r="117" spans="1:6" ht="15">
      <c r="A117" s="20"/>
      <c r="B117" s="2" t="s">
        <v>14</v>
      </c>
      <c r="C117" s="37"/>
      <c r="D117" s="35"/>
      <c r="E117" s="45"/>
      <c r="F117" s="37"/>
    </row>
    <row r="118" spans="1:6" ht="15">
      <c r="A118" s="20"/>
      <c r="B118" s="2" t="s">
        <v>15</v>
      </c>
      <c r="C118" s="37"/>
      <c r="D118" s="35"/>
      <c r="E118" s="45"/>
      <c r="F118" s="37"/>
    </row>
    <row r="119" spans="1:7" ht="15">
      <c r="A119" s="20"/>
      <c r="B119" s="2" t="s">
        <v>16</v>
      </c>
      <c r="C119" s="37"/>
      <c r="D119" s="35"/>
      <c r="E119" s="45"/>
      <c r="F119" s="37"/>
      <c r="G119" s="16"/>
    </row>
    <row r="120" spans="1:7" ht="15">
      <c r="A120" s="20"/>
      <c r="B120" s="2" t="s">
        <v>17</v>
      </c>
      <c r="C120" s="37"/>
      <c r="D120" s="62"/>
      <c r="E120" s="45"/>
      <c r="F120" s="37"/>
      <c r="G120" s="16"/>
    </row>
    <row r="121" spans="1:7" ht="15">
      <c r="A121" s="20"/>
      <c r="B121" s="2" t="s">
        <v>18</v>
      </c>
      <c r="C121" s="37"/>
      <c r="D121" s="44"/>
      <c r="E121" s="45"/>
      <c r="F121" s="37"/>
      <c r="G121" s="16"/>
    </row>
    <row r="122" spans="1:7" ht="15">
      <c r="A122" s="20"/>
      <c r="B122" s="21" t="s">
        <v>19</v>
      </c>
      <c r="C122" s="58"/>
      <c r="D122" s="35"/>
      <c r="E122" s="45"/>
      <c r="F122" s="37"/>
      <c r="G122" s="16"/>
    </row>
    <row r="123" spans="1:7" ht="15">
      <c r="A123" s="20"/>
      <c r="B123" s="2" t="s">
        <v>20</v>
      </c>
      <c r="C123" s="37"/>
      <c r="D123" s="35"/>
      <c r="E123" s="45">
        <f>7805.18+15610.36</f>
        <v>23415.54</v>
      </c>
      <c r="F123" s="37"/>
      <c r="G123" s="16"/>
    </row>
    <row r="124" spans="1:6" ht="15">
      <c r="A124" s="20"/>
      <c r="B124" s="2" t="s">
        <v>21</v>
      </c>
      <c r="C124" s="37"/>
      <c r="D124" s="35"/>
      <c r="E124" s="45">
        <v>7805.18</v>
      </c>
      <c r="F124" s="37"/>
    </row>
    <row r="125" spans="1:6" ht="15">
      <c r="A125" s="20"/>
      <c r="B125" s="2" t="s">
        <v>22</v>
      </c>
      <c r="C125" s="37"/>
      <c r="D125" s="35"/>
      <c r="E125" s="35">
        <v>7805.18</v>
      </c>
      <c r="F125" s="37"/>
    </row>
    <row r="126" spans="1:6" ht="15">
      <c r="A126" s="20"/>
      <c r="B126" s="2" t="s">
        <v>23</v>
      </c>
      <c r="C126" s="37"/>
      <c r="D126" s="35"/>
      <c r="E126" s="45">
        <f>1250+7805.18</f>
        <v>9055.18</v>
      </c>
      <c r="F126" s="37"/>
    </row>
    <row r="127" spans="1:6" ht="15">
      <c r="A127" s="25" t="s">
        <v>57</v>
      </c>
      <c r="B127" s="18" t="s">
        <v>58</v>
      </c>
      <c r="C127" s="39"/>
      <c r="D127" s="39">
        <v>42000</v>
      </c>
      <c r="E127" s="39">
        <f>SUM(E128:E139)</f>
        <v>5853.42</v>
      </c>
      <c r="F127" s="39">
        <f>D127-E127</f>
        <v>36146.58</v>
      </c>
    </row>
    <row r="128" spans="1:6" ht="15">
      <c r="A128" s="20"/>
      <c r="B128" s="21" t="s">
        <v>13</v>
      </c>
      <c r="C128" s="58"/>
      <c r="D128" s="11"/>
      <c r="E128" s="11"/>
      <c r="F128" s="13" t="s">
        <v>135</v>
      </c>
    </row>
    <row r="129" spans="1:6" ht="15">
      <c r="A129" s="20"/>
      <c r="B129" s="2" t="s">
        <v>14</v>
      </c>
      <c r="C129" s="37"/>
      <c r="D129" s="26"/>
      <c r="E129" s="26"/>
      <c r="F129" s="27" t="s">
        <v>142</v>
      </c>
    </row>
    <row r="130" spans="1:7" ht="15">
      <c r="A130" s="20"/>
      <c r="B130" s="2" t="s">
        <v>15</v>
      </c>
      <c r="C130" s="37"/>
      <c r="D130" s="26"/>
      <c r="E130" s="26"/>
      <c r="F130" s="27" t="s">
        <v>144</v>
      </c>
      <c r="G130" s="16"/>
    </row>
    <row r="131" spans="1:7" ht="15">
      <c r="A131" s="20"/>
      <c r="B131" s="2" t="s">
        <v>16</v>
      </c>
      <c r="C131" s="37"/>
      <c r="D131" s="11"/>
      <c r="E131" s="11"/>
      <c r="F131" s="27" t="s">
        <v>151</v>
      </c>
      <c r="G131" s="16"/>
    </row>
    <row r="132" spans="1:8" ht="30">
      <c r="A132" s="20"/>
      <c r="B132" s="2" t="s">
        <v>17</v>
      </c>
      <c r="C132" s="37"/>
      <c r="D132" s="26"/>
      <c r="E132" s="26"/>
      <c r="F132" s="27" t="s">
        <v>218</v>
      </c>
      <c r="G132" s="16"/>
      <c r="H132" s="16"/>
    </row>
    <row r="133" spans="1:7" ht="15">
      <c r="A133" s="20"/>
      <c r="B133" s="2" t="s">
        <v>18</v>
      </c>
      <c r="C133" s="37"/>
      <c r="D133" s="11"/>
      <c r="E133" s="11"/>
      <c r="F133" s="13" t="s">
        <v>207</v>
      </c>
      <c r="G133" s="16"/>
    </row>
    <row r="134" spans="1:7" ht="15">
      <c r="A134" s="20"/>
      <c r="B134" s="21" t="s">
        <v>19</v>
      </c>
      <c r="C134" s="58"/>
      <c r="D134" s="11"/>
      <c r="E134" s="11"/>
      <c r="F134" s="27" t="s">
        <v>220</v>
      </c>
      <c r="G134" s="16"/>
    </row>
    <row r="135" spans="1:7" ht="15">
      <c r="A135" s="20"/>
      <c r="B135" s="2" t="s">
        <v>20</v>
      </c>
      <c r="C135" s="37"/>
      <c r="D135" s="11"/>
      <c r="E135" s="11"/>
      <c r="F135" s="13"/>
      <c r="G135" s="16"/>
    </row>
    <row r="136" spans="1:6" ht="15">
      <c r="A136" s="20"/>
      <c r="B136" s="2" t="s">
        <v>21</v>
      </c>
      <c r="C136" s="37"/>
      <c r="D136" s="11"/>
      <c r="E136" s="11">
        <v>5853.42</v>
      </c>
      <c r="F136" s="13"/>
    </row>
    <row r="137" spans="1:7" ht="15">
      <c r="A137" s="20"/>
      <c r="B137" s="2" t="s">
        <v>22</v>
      </c>
      <c r="C137" s="37"/>
      <c r="D137" s="11"/>
      <c r="E137" s="11"/>
      <c r="F137" s="13"/>
      <c r="G137" s="16"/>
    </row>
    <row r="138" spans="1:6" ht="15">
      <c r="A138" s="20"/>
      <c r="B138" s="2" t="s">
        <v>23</v>
      </c>
      <c r="C138" s="37"/>
      <c r="D138" s="11"/>
      <c r="E138" s="11"/>
      <c r="F138" s="13"/>
    </row>
    <row r="139" spans="1:6" ht="15">
      <c r="A139" s="20"/>
      <c r="B139" s="2" t="s">
        <v>30</v>
      </c>
      <c r="C139" s="37"/>
      <c r="D139" s="11"/>
      <c r="E139" s="11"/>
      <c r="F139" s="13"/>
    </row>
    <row r="140" spans="1:6" ht="15">
      <c r="A140" s="25" t="s">
        <v>59</v>
      </c>
      <c r="B140" s="18" t="s">
        <v>60</v>
      </c>
      <c r="C140" s="39"/>
      <c r="D140" s="19">
        <v>24000</v>
      </c>
      <c r="E140" s="19">
        <f>SUM(E141:E152)</f>
        <v>2750</v>
      </c>
      <c r="F140" s="19">
        <f>D140-E140</f>
        <v>21250</v>
      </c>
    </row>
    <row r="141" spans="1:6" ht="15">
      <c r="A141" s="20"/>
      <c r="B141" s="21" t="s">
        <v>13</v>
      </c>
      <c r="C141" s="58"/>
      <c r="D141" s="11"/>
      <c r="E141" s="11"/>
      <c r="F141" s="13" t="s">
        <v>136</v>
      </c>
    </row>
    <row r="142" spans="1:6" ht="15">
      <c r="A142" s="20"/>
      <c r="B142" s="2" t="s">
        <v>14</v>
      </c>
      <c r="C142" s="37"/>
      <c r="D142" s="11"/>
      <c r="E142" s="11"/>
      <c r="F142" s="13" t="s">
        <v>137</v>
      </c>
    </row>
    <row r="143" spans="1:6" ht="15">
      <c r="A143" s="20"/>
      <c r="B143" s="2" t="s">
        <v>15</v>
      </c>
      <c r="C143" s="37"/>
      <c r="D143" s="26"/>
      <c r="E143" s="26"/>
      <c r="F143" s="27" t="s">
        <v>145</v>
      </c>
    </row>
    <row r="144" spans="1:6" ht="15">
      <c r="A144" s="20"/>
      <c r="B144" s="2" t="s">
        <v>16</v>
      </c>
      <c r="C144" s="37"/>
      <c r="D144" s="11"/>
      <c r="E144" s="11"/>
      <c r="F144" s="13" t="s">
        <v>148</v>
      </c>
    </row>
    <row r="145" spans="1:6" ht="15">
      <c r="A145" s="20"/>
      <c r="B145" s="2" t="s">
        <v>17</v>
      </c>
      <c r="C145" s="37"/>
      <c r="D145" s="11"/>
      <c r="E145" s="11"/>
      <c r="F145" s="13" t="s">
        <v>152</v>
      </c>
    </row>
    <row r="146" spans="1:7" ht="15">
      <c r="A146" s="20"/>
      <c r="B146" s="2" t="s">
        <v>18</v>
      </c>
      <c r="C146" s="37"/>
      <c r="D146" s="11"/>
      <c r="E146" s="11"/>
      <c r="F146" s="27" t="s">
        <v>61</v>
      </c>
      <c r="G146" s="16"/>
    </row>
    <row r="147" spans="1:7" ht="15">
      <c r="A147" s="20"/>
      <c r="B147" s="21" t="s">
        <v>19</v>
      </c>
      <c r="C147" s="58"/>
      <c r="D147" s="11"/>
      <c r="E147" s="11"/>
      <c r="F147" s="27" t="s">
        <v>219</v>
      </c>
      <c r="G147" s="16"/>
    </row>
    <row r="148" spans="1:6" ht="15">
      <c r="A148" s="20"/>
      <c r="B148" s="2" t="s">
        <v>20</v>
      </c>
      <c r="C148" s="37"/>
      <c r="D148" s="11"/>
      <c r="E148" s="11"/>
      <c r="F148" s="13"/>
    </row>
    <row r="149" spans="1:7" ht="15">
      <c r="A149" s="20"/>
      <c r="B149" s="2" t="s">
        <v>21</v>
      </c>
      <c r="C149" s="37"/>
      <c r="D149" s="11"/>
      <c r="E149" s="11"/>
      <c r="F149" s="13"/>
      <c r="G149" s="16"/>
    </row>
    <row r="150" spans="1:6" ht="15">
      <c r="A150" s="20"/>
      <c r="B150" s="2" t="s">
        <v>22</v>
      </c>
      <c r="C150" s="37"/>
      <c r="D150" s="11"/>
      <c r="E150" s="11">
        <v>2750</v>
      </c>
      <c r="F150" s="13"/>
    </row>
    <row r="151" spans="1:7" ht="15">
      <c r="A151" s="20"/>
      <c r="B151" s="2" t="s">
        <v>23</v>
      </c>
      <c r="C151" s="37"/>
      <c r="D151" s="11"/>
      <c r="E151" s="11"/>
      <c r="F151" s="27"/>
      <c r="G151" s="16"/>
    </row>
    <row r="152" spans="1:7" ht="15">
      <c r="A152" s="20"/>
      <c r="B152" s="2" t="s">
        <v>30</v>
      </c>
      <c r="C152" s="37"/>
      <c r="D152" s="11"/>
      <c r="E152" s="11"/>
      <c r="F152" s="27"/>
      <c r="G152" s="16"/>
    </row>
    <row r="153" spans="1:6" ht="15">
      <c r="A153" s="25" t="s">
        <v>62</v>
      </c>
      <c r="B153" s="18" t="s">
        <v>63</v>
      </c>
      <c r="C153" s="39"/>
      <c r="D153" s="19">
        <v>9000</v>
      </c>
      <c r="E153" s="19">
        <f>2299+2299</f>
        <v>4598</v>
      </c>
      <c r="F153" s="19">
        <f>D153-E153</f>
        <v>4402</v>
      </c>
    </row>
    <row r="154" spans="1:6" ht="15">
      <c r="A154" s="25" t="s">
        <v>64</v>
      </c>
      <c r="B154" s="18" t="s">
        <v>65</v>
      </c>
      <c r="C154" s="39"/>
      <c r="D154" s="19">
        <v>12000</v>
      </c>
      <c r="E154" s="19"/>
      <c r="F154" s="19">
        <f>D154-E154</f>
        <v>12000</v>
      </c>
    </row>
    <row r="155" spans="1:6" ht="15">
      <c r="A155" s="25" t="s">
        <v>66</v>
      </c>
      <c r="B155" s="18" t="s">
        <v>67</v>
      </c>
      <c r="C155" s="39"/>
      <c r="D155" s="19">
        <v>12000</v>
      </c>
      <c r="E155" s="19">
        <f>SUM(E156:E166)</f>
        <v>0</v>
      </c>
      <c r="F155" s="19">
        <f>D155-E155</f>
        <v>12000</v>
      </c>
    </row>
    <row r="156" spans="1:7" ht="15">
      <c r="A156" s="20"/>
      <c r="B156" s="21" t="s">
        <v>13</v>
      </c>
      <c r="C156" s="58"/>
      <c r="D156" s="11"/>
      <c r="E156" s="24"/>
      <c r="F156" s="13"/>
      <c r="G156" s="16"/>
    </row>
    <row r="157" spans="1:7" ht="15">
      <c r="A157" s="20"/>
      <c r="B157" s="2" t="s">
        <v>14</v>
      </c>
      <c r="C157" s="37"/>
      <c r="D157" s="11"/>
      <c r="E157" s="24"/>
      <c r="F157" s="13"/>
      <c r="G157" s="16"/>
    </row>
    <row r="158" spans="1:7" ht="15">
      <c r="A158" s="20"/>
      <c r="B158" s="2" t="s">
        <v>15</v>
      </c>
      <c r="C158" s="37"/>
      <c r="D158" s="11"/>
      <c r="E158" s="24"/>
      <c r="F158" s="13"/>
      <c r="G158" s="16"/>
    </row>
    <row r="159" spans="1:7" ht="15">
      <c r="A159" s="20"/>
      <c r="B159" s="2" t="s">
        <v>16</v>
      </c>
      <c r="C159" s="37"/>
      <c r="D159" s="11"/>
      <c r="E159" s="24"/>
      <c r="F159" s="13"/>
      <c r="G159" s="16"/>
    </row>
    <row r="160" spans="1:6" ht="15">
      <c r="A160" s="20"/>
      <c r="B160" s="2" t="s">
        <v>17</v>
      </c>
      <c r="C160" s="37"/>
      <c r="D160" s="11"/>
      <c r="E160" s="24"/>
      <c r="F160" s="13"/>
    </row>
    <row r="161" spans="1:6" ht="15">
      <c r="A161" s="20"/>
      <c r="B161" s="2" t="s">
        <v>18</v>
      </c>
      <c r="C161" s="37"/>
      <c r="D161" s="11"/>
      <c r="E161" s="11"/>
      <c r="F161" s="13"/>
    </row>
    <row r="162" spans="1:6" ht="15">
      <c r="A162" s="20"/>
      <c r="B162" s="21" t="s">
        <v>19</v>
      </c>
      <c r="C162" s="58"/>
      <c r="D162" s="11"/>
      <c r="E162" s="24"/>
      <c r="F162" s="13"/>
    </row>
    <row r="163" spans="1:6" ht="15">
      <c r="A163" s="20"/>
      <c r="B163" s="2" t="s">
        <v>20</v>
      </c>
      <c r="C163" s="37"/>
      <c r="D163" s="11"/>
      <c r="E163" s="24"/>
      <c r="F163" s="13"/>
    </row>
    <row r="164" spans="1:6" ht="15">
      <c r="A164" s="20"/>
      <c r="B164" s="2" t="s">
        <v>21</v>
      </c>
      <c r="C164" s="37"/>
      <c r="D164" s="11"/>
      <c r="E164" s="24"/>
      <c r="F164" s="13"/>
    </row>
    <row r="165" spans="1:6" ht="15">
      <c r="A165" s="20"/>
      <c r="B165" s="2" t="s">
        <v>22</v>
      </c>
      <c r="C165" s="37"/>
      <c r="D165" s="11"/>
      <c r="E165" s="24"/>
      <c r="F165" s="13"/>
    </row>
    <row r="166" spans="1:6" ht="15">
      <c r="A166" s="20"/>
      <c r="B166" s="2" t="s">
        <v>23</v>
      </c>
      <c r="C166" s="37"/>
      <c r="D166" s="11"/>
      <c r="E166" s="24"/>
      <c r="F166" s="13"/>
    </row>
    <row r="167" spans="1:6" ht="15">
      <c r="A167" s="17" t="s">
        <v>68</v>
      </c>
      <c r="B167" s="18" t="s">
        <v>69</v>
      </c>
      <c r="C167" s="39"/>
      <c r="D167" s="39">
        <v>60000</v>
      </c>
      <c r="E167" s="39">
        <f>SUM(E168:E180)</f>
        <v>0</v>
      </c>
      <c r="F167" s="39">
        <f>D167-E167</f>
        <v>60000</v>
      </c>
    </row>
    <row r="168" spans="1:6" ht="15">
      <c r="A168" s="20"/>
      <c r="B168" s="21" t="s">
        <v>13</v>
      </c>
      <c r="C168" s="58"/>
      <c r="D168" s="35"/>
      <c r="E168" s="35"/>
      <c r="F168" s="37"/>
    </row>
    <row r="169" spans="1:6" ht="15">
      <c r="A169" s="20"/>
      <c r="B169" s="2" t="s">
        <v>14</v>
      </c>
      <c r="C169" s="37"/>
      <c r="D169" s="35"/>
      <c r="E169" s="35"/>
      <c r="F169" s="37"/>
    </row>
    <row r="170" spans="1:6" ht="15">
      <c r="A170" s="20"/>
      <c r="B170" s="2" t="s">
        <v>15</v>
      </c>
      <c r="C170" s="37"/>
      <c r="D170" s="35"/>
      <c r="E170" s="35"/>
      <c r="F170" s="37"/>
    </row>
    <row r="171" spans="1:6" ht="15">
      <c r="A171" s="20"/>
      <c r="B171" s="2" t="s">
        <v>16</v>
      </c>
      <c r="C171" s="37"/>
      <c r="D171" s="35"/>
      <c r="E171" s="35"/>
      <c r="F171" s="37"/>
    </row>
    <row r="172" spans="1:6" ht="15">
      <c r="A172" s="20"/>
      <c r="B172" s="2" t="s">
        <v>17</v>
      </c>
      <c r="C172" s="37"/>
      <c r="D172" s="35"/>
      <c r="E172" s="35"/>
      <c r="F172" s="37"/>
    </row>
    <row r="173" spans="1:6" ht="15">
      <c r="A173" s="20"/>
      <c r="B173" s="2" t="s">
        <v>18</v>
      </c>
      <c r="C173" s="37"/>
      <c r="D173" s="35"/>
      <c r="E173" s="35"/>
      <c r="F173" s="37"/>
    </row>
    <row r="174" spans="1:6" ht="15">
      <c r="A174" s="20"/>
      <c r="B174" s="21" t="s">
        <v>19</v>
      </c>
      <c r="C174" s="58"/>
      <c r="D174" s="35"/>
      <c r="E174" s="35"/>
      <c r="F174" s="37"/>
    </row>
    <row r="175" spans="1:6" ht="15">
      <c r="A175" s="20"/>
      <c r="B175" s="2" t="s">
        <v>20</v>
      </c>
      <c r="C175" s="37"/>
      <c r="D175" s="35"/>
      <c r="E175" s="35"/>
      <c r="F175" s="37"/>
    </row>
    <row r="176" spans="1:6" ht="15">
      <c r="A176" s="20"/>
      <c r="B176" s="2" t="s">
        <v>21</v>
      </c>
      <c r="C176" s="37"/>
      <c r="D176" s="35"/>
      <c r="E176" s="35"/>
      <c r="F176" s="37"/>
    </row>
    <row r="177" spans="1:6" ht="15">
      <c r="A177" s="20"/>
      <c r="B177" s="2" t="s">
        <v>22</v>
      </c>
      <c r="C177" s="37"/>
      <c r="D177" s="35"/>
      <c r="E177" s="35"/>
      <c r="F177" s="37"/>
    </row>
    <row r="178" spans="1:6" ht="15">
      <c r="A178" s="20"/>
      <c r="B178" s="2" t="s">
        <v>23</v>
      </c>
      <c r="C178" s="37"/>
      <c r="D178" s="35"/>
      <c r="E178" s="35"/>
      <c r="F178" s="37"/>
    </row>
    <row r="179" spans="1:6" ht="15">
      <c r="A179" s="20"/>
      <c r="B179" s="2" t="s">
        <v>30</v>
      </c>
      <c r="C179" s="37"/>
      <c r="D179" s="35"/>
      <c r="E179" s="35"/>
      <c r="F179" s="37"/>
    </row>
    <row r="180" spans="1:6" ht="15.75">
      <c r="A180" s="20"/>
      <c r="B180" s="10"/>
      <c r="C180" s="37"/>
      <c r="D180" s="11"/>
      <c r="E180" s="11"/>
      <c r="F180" s="13"/>
    </row>
    <row r="181" spans="1:6" ht="15.75">
      <c r="A181" s="20" t="s">
        <v>70</v>
      </c>
      <c r="B181" s="10" t="s">
        <v>71</v>
      </c>
      <c r="C181" s="60"/>
      <c r="D181" s="11"/>
      <c r="E181" s="11"/>
      <c r="F181" s="13"/>
    </row>
    <row r="182" spans="1:6" ht="15">
      <c r="A182" s="25" t="s">
        <v>72</v>
      </c>
      <c r="B182" s="18" t="s">
        <v>73</v>
      </c>
      <c r="C182" s="39"/>
      <c r="D182" s="39">
        <f>SUM(D183:D189)</f>
        <v>684565</v>
      </c>
      <c r="E182" s="39">
        <f>SUM(E183:E189)</f>
        <v>105000</v>
      </c>
      <c r="F182" s="39">
        <f>D182-E182</f>
        <v>579565</v>
      </c>
    </row>
    <row r="183" spans="1:6" ht="30">
      <c r="A183" s="20"/>
      <c r="B183" s="14" t="s">
        <v>100</v>
      </c>
      <c r="C183" s="61"/>
      <c r="D183" s="35">
        <v>531565</v>
      </c>
      <c r="E183" s="35">
        <v>105000</v>
      </c>
      <c r="F183" s="47" t="s">
        <v>154</v>
      </c>
    </row>
    <row r="184" spans="1:7" ht="60">
      <c r="A184" s="20"/>
      <c r="B184" s="46" t="s">
        <v>101</v>
      </c>
      <c r="C184" s="37"/>
      <c r="D184" s="35">
        <v>22200</v>
      </c>
      <c r="E184" s="35"/>
      <c r="F184" s="47" t="s">
        <v>146</v>
      </c>
      <c r="G184" s="16"/>
    </row>
    <row r="185" spans="1:9" ht="45">
      <c r="A185" s="20"/>
      <c r="B185" s="46" t="s">
        <v>102</v>
      </c>
      <c r="C185" s="37"/>
      <c r="D185" s="35">
        <v>50400</v>
      </c>
      <c r="E185" s="35"/>
      <c r="F185" s="47" t="s">
        <v>147</v>
      </c>
      <c r="G185" s="16"/>
      <c r="I185" s="16"/>
    </row>
    <row r="186" spans="1:7" ht="60">
      <c r="A186" s="20"/>
      <c r="B186" s="14" t="s">
        <v>103</v>
      </c>
      <c r="C186" s="61"/>
      <c r="D186" s="35">
        <v>6000</v>
      </c>
      <c r="E186" s="48"/>
      <c r="F186" s="47" t="s">
        <v>140</v>
      </c>
      <c r="G186" s="16"/>
    </row>
    <row r="187" spans="1:7" ht="30">
      <c r="A187" s="20"/>
      <c r="B187" s="14" t="s">
        <v>104</v>
      </c>
      <c r="C187" s="61"/>
      <c r="D187" s="35">
        <v>68400</v>
      </c>
      <c r="E187" s="48"/>
      <c r="F187" s="47"/>
      <c r="G187" s="16"/>
    </row>
    <row r="188" spans="1:6" ht="30">
      <c r="A188" s="20"/>
      <c r="B188" s="14" t="s">
        <v>74</v>
      </c>
      <c r="C188" s="61"/>
      <c r="D188" s="35">
        <v>6000</v>
      </c>
      <c r="E188" s="48"/>
      <c r="F188" s="37"/>
    </row>
    <row r="189" spans="1:7" ht="15">
      <c r="A189" s="20"/>
      <c r="B189" s="14"/>
      <c r="C189" s="61"/>
      <c r="D189" s="35"/>
      <c r="E189" s="48"/>
      <c r="F189" s="37"/>
      <c r="G189" s="16"/>
    </row>
    <row r="190" spans="1:6" ht="15">
      <c r="A190" s="25" t="s">
        <v>75</v>
      </c>
      <c r="B190" s="22" t="s">
        <v>76</v>
      </c>
      <c r="C190" s="59"/>
      <c r="D190" s="39">
        <f>SUM(D191:D193)</f>
        <v>20640</v>
      </c>
      <c r="E190" s="39">
        <f>SUM(E191:E195)</f>
        <v>8848.39</v>
      </c>
      <c r="F190" s="39">
        <f>D190-E190</f>
        <v>11791.61</v>
      </c>
    </row>
    <row r="191" spans="1:7" ht="45">
      <c r="A191" s="20"/>
      <c r="B191" s="14" t="s">
        <v>77</v>
      </c>
      <c r="C191" s="61"/>
      <c r="D191" s="49">
        <v>2400</v>
      </c>
      <c r="E191" s="50"/>
      <c r="F191" s="13"/>
      <c r="G191" s="16"/>
    </row>
    <row r="192" spans="1:7" ht="45">
      <c r="A192" s="20"/>
      <c r="B192" s="14" t="s">
        <v>78</v>
      </c>
      <c r="C192" s="61"/>
      <c r="D192" s="49">
        <v>16200</v>
      </c>
      <c r="E192" s="50"/>
      <c r="F192" s="13" t="s">
        <v>138</v>
      </c>
      <c r="G192" s="16"/>
    </row>
    <row r="193" spans="1:7" ht="30">
      <c r="A193" s="20"/>
      <c r="B193" s="14" t="s">
        <v>79</v>
      </c>
      <c r="C193" s="61"/>
      <c r="D193" s="49">
        <v>2040</v>
      </c>
      <c r="E193" s="50"/>
      <c r="F193" s="13" t="s">
        <v>141</v>
      </c>
      <c r="G193" s="16"/>
    </row>
    <row r="194" spans="1:7" ht="30">
      <c r="A194" s="20"/>
      <c r="B194" s="14" t="s">
        <v>105</v>
      </c>
      <c r="C194" s="61"/>
      <c r="D194" s="49">
        <v>4320</v>
      </c>
      <c r="E194" s="50">
        <v>8848.39</v>
      </c>
      <c r="F194" s="13"/>
      <c r="G194" s="16"/>
    </row>
    <row r="195" spans="1:7" ht="30">
      <c r="A195" s="20"/>
      <c r="B195" s="14" t="s">
        <v>106</v>
      </c>
      <c r="C195" s="61"/>
      <c r="D195" s="49">
        <v>5400</v>
      </c>
      <c r="E195" s="50"/>
      <c r="F195" s="13"/>
      <c r="G195" s="16"/>
    </row>
    <row r="196" spans="1:6" ht="15">
      <c r="A196" s="25" t="s">
        <v>80</v>
      </c>
      <c r="B196" s="22" t="s">
        <v>81</v>
      </c>
      <c r="C196" s="59"/>
      <c r="D196" s="51">
        <f>SUM(D197:D203)</f>
        <v>125280</v>
      </c>
      <c r="E196" s="51">
        <f>SUM(E197:E203)</f>
        <v>24073.6</v>
      </c>
      <c r="F196" s="19">
        <f aca="true" t="shared" si="0" ref="F196:F216">D196-E196</f>
        <v>101206.4</v>
      </c>
    </row>
    <row r="197" spans="1:9" ht="15">
      <c r="A197" s="20"/>
      <c r="B197" s="14" t="s">
        <v>107</v>
      </c>
      <c r="C197" s="61"/>
      <c r="D197" s="49">
        <v>45840</v>
      </c>
      <c r="E197" s="50"/>
      <c r="F197" s="13">
        <f t="shared" si="0"/>
        <v>45840</v>
      </c>
      <c r="G197" s="16"/>
      <c r="I197" s="16"/>
    </row>
    <row r="198" spans="1:7" ht="15">
      <c r="A198" s="20"/>
      <c r="B198" s="14" t="s">
        <v>82</v>
      </c>
      <c r="C198" s="61"/>
      <c r="D198" s="49">
        <v>38400</v>
      </c>
      <c r="E198" s="50"/>
      <c r="F198" s="13">
        <f t="shared" si="0"/>
        <v>38400</v>
      </c>
      <c r="G198" s="16"/>
    </row>
    <row r="199" spans="1:6" ht="30">
      <c r="A199" s="20"/>
      <c r="B199" s="14" t="s">
        <v>83</v>
      </c>
      <c r="C199" s="61"/>
      <c r="D199" s="49">
        <v>6000</v>
      </c>
      <c r="E199" s="50"/>
      <c r="F199" s="13">
        <f t="shared" si="0"/>
        <v>6000</v>
      </c>
    </row>
    <row r="200" spans="1:6" ht="30">
      <c r="A200" s="20"/>
      <c r="B200" s="14" t="s">
        <v>84</v>
      </c>
      <c r="C200" s="61"/>
      <c r="D200" s="49">
        <v>2040</v>
      </c>
      <c r="E200" s="50"/>
      <c r="F200" s="13">
        <f t="shared" si="0"/>
        <v>2040</v>
      </c>
    </row>
    <row r="201" spans="1:9" ht="15">
      <c r="A201" s="20"/>
      <c r="B201" s="14" t="s">
        <v>108</v>
      </c>
      <c r="C201" s="61"/>
      <c r="D201" s="49">
        <v>20400</v>
      </c>
      <c r="E201" s="50">
        <f>22138+1034</f>
        <v>23172</v>
      </c>
      <c r="F201" s="13">
        <f t="shared" si="0"/>
        <v>-2772</v>
      </c>
      <c r="G201" s="28"/>
      <c r="I201" s="16"/>
    </row>
    <row r="202" spans="1:7" ht="30">
      <c r="A202" s="20"/>
      <c r="B202" s="14" t="s">
        <v>85</v>
      </c>
      <c r="C202" s="61"/>
      <c r="D202" s="49">
        <v>9000</v>
      </c>
      <c r="E202" s="50">
        <v>901.6</v>
      </c>
      <c r="F202" s="13">
        <f t="shared" si="0"/>
        <v>8098.4</v>
      </c>
      <c r="G202" s="16"/>
    </row>
    <row r="203" spans="1:7" ht="15">
      <c r="A203" s="20"/>
      <c r="B203" s="14" t="s">
        <v>109</v>
      </c>
      <c r="C203" s="61"/>
      <c r="D203" s="49">
        <v>3600</v>
      </c>
      <c r="E203" s="50"/>
      <c r="F203" s="13">
        <f t="shared" si="0"/>
        <v>3600</v>
      </c>
      <c r="G203" s="16"/>
    </row>
    <row r="204" spans="1:6" ht="15">
      <c r="A204" s="25" t="s">
        <v>86</v>
      </c>
      <c r="B204" s="22" t="s">
        <v>87</v>
      </c>
      <c r="C204" s="59"/>
      <c r="D204" s="51">
        <f>SUM(D205:D214)</f>
        <v>89880</v>
      </c>
      <c r="E204" s="51">
        <f>SUM(E205:E214)</f>
        <v>3800</v>
      </c>
      <c r="F204" s="19">
        <f t="shared" si="0"/>
        <v>86080</v>
      </c>
    </row>
    <row r="205" spans="1:12" ht="45">
      <c r="A205" s="20"/>
      <c r="B205" s="14" t="s">
        <v>110</v>
      </c>
      <c r="C205" s="61"/>
      <c r="D205" s="49">
        <v>60000</v>
      </c>
      <c r="E205" s="52"/>
      <c r="F205" s="13"/>
      <c r="I205" s="16"/>
      <c r="L205" s="16"/>
    </row>
    <row r="206" spans="1:10" ht="30">
      <c r="A206" s="20"/>
      <c r="B206" s="14" t="s">
        <v>111</v>
      </c>
      <c r="C206" s="61"/>
      <c r="D206" s="49">
        <v>7200</v>
      </c>
      <c r="E206" s="50"/>
      <c r="F206" s="13"/>
      <c r="G206" s="16"/>
      <c r="H206" s="16"/>
      <c r="J206" s="16"/>
    </row>
    <row r="207" spans="1:10" ht="15">
      <c r="A207" s="20"/>
      <c r="B207" s="14" t="s">
        <v>112</v>
      </c>
      <c r="C207" s="61"/>
      <c r="D207" s="49">
        <v>6000</v>
      </c>
      <c r="E207" s="50">
        <v>3800</v>
      </c>
      <c r="F207" s="13"/>
      <c r="H207" s="16"/>
      <c r="J207" s="16"/>
    </row>
    <row r="208" spans="1:10" ht="15">
      <c r="A208" s="20"/>
      <c r="B208" s="14" t="s">
        <v>113</v>
      </c>
      <c r="C208" s="61"/>
      <c r="D208" s="49">
        <v>1800</v>
      </c>
      <c r="E208" s="50"/>
      <c r="F208" s="13"/>
      <c r="G208" s="16"/>
      <c r="J208" s="16"/>
    </row>
    <row r="209" spans="1:6" ht="15">
      <c r="A209" s="20"/>
      <c r="B209" s="14" t="s">
        <v>88</v>
      </c>
      <c r="C209" s="61"/>
      <c r="D209" s="49">
        <v>4200</v>
      </c>
      <c r="E209" s="50"/>
      <c r="F209" s="13"/>
    </row>
    <row r="210" spans="1:7" ht="60">
      <c r="A210" s="20"/>
      <c r="B210" s="14" t="s">
        <v>114</v>
      </c>
      <c r="C210" s="61"/>
      <c r="D210" s="49">
        <v>3600</v>
      </c>
      <c r="E210" s="50"/>
      <c r="F210" s="13"/>
      <c r="G210" s="16"/>
    </row>
    <row r="211" spans="1:8" ht="15">
      <c r="A211" s="20"/>
      <c r="B211" s="14" t="s">
        <v>115</v>
      </c>
      <c r="C211" s="61"/>
      <c r="D211" s="49">
        <v>3000</v>
      </c>
      <c r="E211" s="50"/>
      <c r="F211" s="13"/>
      <c r="H211" s="16"/>
    </row>
    <row r="212" spans="1:6" ht="45">
      <c r="A212" s="20"/>
      <c r="B212" s="14" t="s">
        <v>119</v>
      </c>
      <c r="C212" s="61"/>
      <c r="D212" s="49">
        <v>2640</v>
      </c>
      <c r="E212" s="50"/>
      <c r="F212" s="27" t="s">
        <v>143</v>
      </c>
    </row>
    <row r="213" spans="1:6" ht="15">
      <c r="A213" s="20"/>
      <c r="B213" s="14" t="s">
        <v>89</v>
      </c>
      <c r="C213" s="61"/>
      <c r="D213" s="49">
        <v>960</v>
      </c>
      <c r="E213" s="50"/>
      <c r="F213" s="13" t="s">
        <v>139</v>
      </c>
    </row>
    <row r="214" spans="1:6" ht="15">
      <c r="A214" s="20"/>
      <c r="B214" s="14" t="s">
        <v>90</v>
      </c>
      <c r="C214" s="61"/>
      <c r="D214" s="49">
        <v>480</v>
      </c>
      <c r="E214" s="50"/>
      <c r="F214" s="13"/>
    </row>
    <row r="215" spans="1:6" ht="26.25">
      <c r="A215" s="25" t="s">
        <v>91</v>
      </c>
      <c r="B215" s="22" t="s">
        <v>116</v>
      </c>
      <c r="C215" s="59"/>
      <c r="D215" s="51">
        <v>12000</v>
      </c>
      <c r="E215" s="51">
        <v>1724</v>
      </c>
      <c r="F215" s="19">
        <f t="shared" si="0"/>
        <v>10276</v>
      </c>
    </row>
    <row r="216" spans="1:6" ht="15">
      <c r="A216" s="25" t="s">
        <v>92</v>
      </c>
      <c r="B216" s="22" t="s">
        <v>93</v>
      </c>
      <c r="C216" s="59"/>
      <c r="D216" s="51">
        <v>75840</v>
      </c>
      <c r="E216" s="51">
        <f>SUM(E217:E230)</f>
        <v>62950.47</v>
      </c>
      <c r="F216" s="19">
        <f t="shared" si="0"/>
        <v>12889.529999999999</v>
      </c>
    </row>
    <row r="217" spans="1:6" ht="15">
      <c r="A217" s="2"/>
      <c r="B217" s="2" t="s">
        <v>120</v>
      </c>
      <c r="C217" s="37"/>
      <c r="D217" s="49"/>
      <c r="E217" s="49"/>
      <c r="F217" s="2"/>
    </row>
    <row r="218" spans="1:6" ht="15">
      <c r="A218" s="2"/>
      <c r="B218" s="2" t="s">
        <v>128</v>
      </c>
      <c r="C218" s="37"/>
      <c r="D218" s="49"/>
      <c r="E218" s="52"/>
      <c r="F218" s="2"/>
    </row>
    <row r="219" spans="1:6" ht="15">
      <c r="A219" s="2"/>
      <c r="B219" s="2" t="s">
        <v>129</v>
      </c>
      <c r="C219" s="37"/>
      <c r="D219" s="49"/>
      <c r="E219" s="52">
        <v>30000</v>
      </c>
      <c r="F219" s="2"/>
    </row>
    <row r="220" spans="1:6" ht="15">
      <c r="A220" s="2"/>
      <c r="B220" s="2" t="s">
        <v>130</v>
      </c>
      <c r="C220" s="37"/>
      <c r="D220" s="49"/>
      <c r="E220" s="52">
        <v>4500</v>
      </c>
      <c r="F220" s="2"/>
    </row>
    <row r="221" spans="1:6" ht="15">
      <c r="A221" s="2"/>
      <c r="B221" s="2" t="s">
        <v>158</v>
      </c>
      <c r="C221" s="37"/>
      <c r="D221" s="49"/>
      <c r="E221" s="52"/>
      <c r="F221" s="2"/>
    </row>
    <row r="222" spans="1:6" ht="15">
      <c r="A222" s="2"/>
      <c r="B222" s="2" t="s">
        <v>150</v>
      </c>
      <c r="C222" s="37"/>
      <c r="D222" s="49"/>
      <c r="E222" s="52"/>
      <c r="F222" s="2"/>
    </row>
    <row r="223" spans="1:6" ht="15">
      <c r="A223" s="2"/>
      <c r="B223" s="2"/>
      <c r="C223" s="37"/>
      <c r="D223" s="49"/>
      <c r="E223" s="49">
        <v>450.43</v>
      </c>
      <c r="F223" s="2"/>
    </row>
    <row r="224" spans="1:6" ht="13.5" customHeight="1">
      <c r="A224" s="2"/>
      <c r="B224" s="2" t="s">
        <v>273</v>
      </c>
      <c r="C224" s="37"/>
      <c r="D224" s="49"/>
      <c r="E224" s="49">
        <v>28000.04</v>
      </c>
      <c r="F224" s="2"/>
    </row>
    <row r="225" spans="1:6" ht="15">
      <c r="A225" s="2"/>
      <c r="B225" s="2"/>
      <c r="C225" s="37"/>
      <c r="D225" s="49"/>
      <c r="E225" s="52"/>
      <c r="F225" s="2"/>
    </row>
    <row r="226" spans="1:6" ht="15">
      <c r="A226" s="2"/>
      <c r="B226" s="2"/>
      <c r="C226" s="37"/>
      <c r="D226" s="49"/>
      <c r="E226" s="52"/>
      <c r="F226" s="2"/>
    </row>
    <row r="227" spans="1:6" ht="15">
      <c r="A227" s="2"/>
      <c r="B227" s="2"/>
      <c r="C227" s="37"/>
      <c r="D227" s="49"/>
      <c r="E227" s="52"/>
      <c r="F227" s="2"/>
    </row>
    <row r="228" spans="1:6" ht="15">
      <c r="A228" s="2"/>
      <c r="B228" s="2"/>
      <c r="C228" s="37"/>
      <c r="D228" s="49"/>
      <c r="E228" s="52"/>
      <c r="F228" s="2"/>
    </row>
    <row r="229" spans="1:6" ht="15">
      <c r="A229" s="2"/>
      <c r="B229" s="2"/>
      <c r="C229" s="37"/>
      <c r="D229" s="49"/>
      <c r="E229" s="53"/>
      <c r="F229" s="2"/>
    </row>
    <row r="230" spans="1:6" ht="15">
      <c r="A230" s="2"/>
      <c r="B230" s="2"/>
      <c r="C230" s="37"/>
      <c r="D230" s="49"/>
      <c r="E230" s="53"/>
      <c r="F230" s="2"/>
    </row>
    <row r="231" spans="1:6" ht="15">
      <c r="A231" s="4"/>
      <c r="B231" s="4" t="s">
        <v>94</v>
      </c>
      <c r="C231" s="32"/>
      <c r="D231" s="54"/>
      <c r="E231" s="54">
        <f>E216+E215+E204+E196+E190+E182+E155+E154+E153+E140+E127+E115+E84+E71+E68+E55+E42+E29+E16</f>
        <v>840989.3700000001</v>
      </c>
      <c r="F231" s="4"/>
    </row>
    <row r="232" spans="1:6" ht="18">
      <c r="A232" s="2"/>
      <c r="B232" s="29" t="s">
        <v>9</v>
      </c>
      <c r="C232" s="37"/>
      <c r="D232" s="55"/>
      <c r="E232" s="56">
        <f>SUM(E231:E231)</f>
        <v>840989.3700000001</v>
      </c>
      <c r="F232" s="2"/>
    </row>
    <row r="233" ht="15">
      <c r="F233" s="30"/>
    </row>
    <row r="234" spans="2:6" ht="15">
      <c r="B234" t="s">
        <v>95</v>
      </c>
      <c r="F234">
        <v>8035.8</v>
      </c>
    </row>
    <row r="235" ht="15">
      <c r="F235" s="30"/>
    </row>
    <row r="236" ht="15">
      <c r="F236" s="30"/>
    </row>
    <row r="237" spans="2:6" ht="15">
      <c r="B237" t="s">
        <v>96</v>
      </c>
      <c r="F237" s="30" t="s">
        <v>131</v>
      </c>
    </row>
    <row r="238" ht="15">
      <c r="F238" s="30"/>
    </row>
    <row r="239" spans="5:6" ht="15">
      <c r="E239" s="63"/>
      <c r="F239" s="73">
        <f>E4-E231</f>
        <v>-2000.2500000001164</v>
      </c>
    </row>
    <row r="240" spans="5:6" ht="15">
      <c r="E240" s="63"/>
      <c r="F240" s="30"/>
    </row>
    <row r="241" ht="15">
      <c r="F241" s="30"/>
    </row>
    <row r="242" ht="15">
      <c r="F242" s="30"/>
    </row>
    <row r="243" ht="15">
      <c r="F243" s="30"/>
    </row>
    <row r="244" ht="15">
      <c r="F244" s="30"/>
    </row>
    <row r="245" ht="15">
      <c r="F245" s="30"/>
    </row>
    <row r="246" ht="15">
      <c r="F246" s="30"/>
    </row>
    <row r="247" ht="15">
      <c r="F247" s="30"/>
    </row>
    <row r="248" ht="15">
      <c r="F248" s="30"/>
    </row>
    <row r="249" ht="15">
      <c r="F249" s="30"/>
    </row>
    <row r="250" ht="15">
      <c r="F250" s="30"/>
    </row>
    <row r="251" ht="15">
      <c r="F251" s="30"/>
    </row>
    <row r="252" ht="15">
      <c r="F252" s="30"/>
    </row>
    <row r="253" ht="15">
      <c r="F253" s="30"/>
    </row>
    <row r="254" ht="15">
      <c r="F254" s="30"/>
    </row>
    <row r="255" ht="15">
      <c r="F255" s="30"/>
    </row>
    <row r="256" ht="15">
      <c r="F256" s="30"/>
    </row>
    <row r="257" ht="15">
      <c r="F257" s="30"/>
    </row>
    <row r="258" ht="15">
      <c r="F258" s="30"/>
    </row>
    <row r="259" ht="15">
      <c r="F259" s="30"/>
    </row>
    <row r="260" ht="15">
      <c r="F260" s="30"/>
    </row>
    <row r="261" ht="15">
      <c r="F261" s="30"/>
    </row>
    <row r="262" ht="15">
      <c r="F262" s="30"/>
    </row>
    <row r="263" ht="15">
      <c r="F263" s="30"/>
    </row>
    <row r="264" ht="15">
      <c r="F264" s="30"/>
    </row>
    <row r="265" ht="15">
      <c r="F265" s="30"/>
    </row>
    <row r="266" ht="15">
      <c r="F266" s="30"/>
    </row>
    <row r="267" ht="15">
      <c r="F267" s="30"/>
    </row>
    <row r="268" ht="15">
      <c r="F268" s="30"/>
    </row>
    <row r="269" ht="15">
      <c r="F269" s="30"/>
    </row>
    <row r="270" ht="15">
      <c r="F270" s="30"/>
    </row>
    <row r="271" ht="15">
      <c r="F271" s="30"/>
    </row>
    <row r="272" ht="15">
      <c r="F272" s="30"/>
    </row>
    <row r="273" ht="15">
      <c r="F273" s="30"/>
    </row>
    <row r="274" ht="15">
      <c r="F274" s="30"/>
    </row>
    <row r="275" ht="15">
      <c r="F275" s="30"/>
    </row>
    <row r="276" ht="15">
      <c r="F276" s="30"/>
    </row>
    <row r="277" ht="15">
      <c r="F277" s="30"/>
    </row>
    <row r="278" ht="15">
      <c r="F278" s="30"/>
    </row>
    <row r="279" ht="15">
      <c r="F279" s="30"/>
    </row>
    <row r="280" ht="15">
      <c r="F280" s="30"/>
    </row>
    <row r="281" ht="15">
      <c r="F281" s="30"/>
    </row>
    <row r="282" ht="15">
      <c r="F282" s="30"/>
    </row>
    <row r="283" ht="15">
      <c r="F283" s="30"/>
    </row>
    <row r="284" ht="15">
      <c r="F284" s="30"/>
    </row>
    <row r="285" ht="15">
      <c r="F285" s="30"/>
    </row>
    <row r="286" ht="15">
      <c r="F286" s="30"/>
    </row>
    <row r="287" ht="15">
      <c r="F287" s="30"/>
    </row>
    <row r="288" ht="15">
      <c r="F288" s="30"/>
    </row>
    <row r="289" ht="15">
      <c r="F289" s="30"/>
    </row>
    <row r="290" ht="15">
      <c r="F290" s="30"/>
    </row>
    <row r="291" ht="15">
      <c r="F291" s="30"/>
    </row>
    <row r="292" ht="15">
      <c r="F292" s="30"/>
    </row>
    <row r="293" ht="15">
      <c r="F293" s="30"/>
    </row>
    <row r="294" ht="15">
      <c r="F294" s="30"/>
    </row>
    <row r="295" ht="15">
      <c r="F295" s="30"/>
    </row>
    <row r="296" ht="15">
      <c r="F296" s="30"/>
    </row>
    <row r="297" ht="15">
      <c r="F297" s="30"/>
    </row>
    <row r="298" ht="15">
      <c r="F298" s="30"/>
    </row>
    <row r="299" ht="15">
      <c r="F299" s="30"/>
    </row>
    <row r="300" ht="15">
      <c r="F300" s="30"/>
    </row>
    <row r="301" ht="15">
      <c r="F301" s="30"/>
    </row>
    <row r="302" ht="15">
      <c r="F302" s="30"/>
    </row>
    <row r="303" ht="15">
      <c r="F303" s="30"/>
    </row>
    <row r="304" ht="15">
      <c r="F304" s="30"/>
    </row>
    <row r="305" ht="15">
      <c r="F305" s="30"/>
    </row>
    <row r="306" ht="15">
      <c r="F306" s="30"/>
    </row>
    <row r="307" ht="15">
      <c r="F307" s="30"/>
    </row>
    <row r="308" ht="15">
      <c r="F308" s="30"/>
    </row>
    <row r="309" ht="15">
      <c r="F309" s="30"/>
    </row>
    <row r="310" ht="15">
      <c r="F310" s="30"/>
    </row>
    <row r="311" ht="15">
      <c r="F311" s="30"/>
    </row>
    <row r="312" ht="15">
      <c r="F312" s="30"/>
    </row>
    <row r="313" ht="15">
      <c r="F313" s="30"/>
    </row>
    <row r="314" ht="15">
      <c r="F314" s="30"/>
    </row>
    <row r="315" ht="15">
      <c r="F315" s="30"/>
    </row>
    <row r="316" ht="15">
      <c r="F316" s="30"/>
    </row>
    <row r="317" ht="15">
      <c r="F317" s="30"/>
    </row>
    <row r="318" ht="15">
      <c r="F318" s="30"/>
    </row>
    <row r="319" ht="15">
      <c r="F319" s="30"/>
    </row>
    <row r="320" ht="15">
      <c r="F320" s="30"/>
    </row>
    <row r="321" ht="15">
      <c r="F321" s="30"/>
    </row>
    <row r="322" ht="15">
      <c r="F322" s="30"/>
    </row>
    <row r="323" ht="15">
      <c r="F323" s="30"/>
    </row>
    <row r="324" ht="15">
      <c r="F324" s="30"/>
    </row>
    <row r="325" ht="15">
      <c r="F325" s="30"/>
    </row>
    <row r="326" ht="15">
      <c r="F326" s="30"/>
    </row>
    <row r="327" ht="15">
      <c r="F327" s="30"/>
    </row>
    <row r="328" ht="15">
      <c r="F328" s="30"/>
    </row>
    <row r="329" ht="15">
      <c r="F329" s="30"/>
    </row>
    <row r="330" ht="15">
      <c r="F330" s="30"/>
    </row>
    <row r="331" ht="15">
      <c r="F331" s="30"/>
    </row>
    <row r="332" ht="15">
      <c r="F332" s="30"/>
    </row>
    <row r="333" ht="15">
      <c r="F333" s="30"/>
    </row>
    <row r="334" ht="15">
      <c r="F334" s="30"/>
    </row>
    <row r="335" ht="15">
      <c r="F335" s="30"/>
    </row>
    <row r="336" ht="15">
      <c r="F336" s="30"/>
    </row>
    <row r="337" ht="15">
      <c r="F337" s="30"/>
    </row>
    <row r="338" ht="15">
      <c r="F338" s="30"/>
    </row>
    <row r="339" ht="15">
      <c r="F339" s="30"/>
    </row>
    <row r="340" ht="15">
      <c r="F340" s="30"/>
    </row>
    <row r="341" ht="15">
      <c r="F341" s="30"/>
    </row>
    <row r="342" ht="15">
      <c r="F342" s="30"/>
    </row>
    <row r="343" ht="15">
      <c r="F343" s="30"/>
    </row>
    <row r="344" ht="15">
      <c r="F344" s="30"/>
    </row>
    <row r="345" ht="15">
      <c r="F345" s="30"/>
    </row>
    <row r="346" ht="15">
      <c r="F346" s="30"/>
    </row>
    <row r="347" ht="15">
      <c r="F347" s="30"/>
    </row>
    <row r="348" ht="15">
      <c r="F348" s="30"/>
    </row>
    <row r="349" ht="15">
      <c r="F349" s="30"/>
    </row>
    <row r="350" ht="15">
      <c r="F350" s="30"/>
    </row>
    <row r="351" ht="15">
      <c r="F351" s="30"/>
    </row>
    <row r="352" ht="15">
      <c r="F352" s="30"/>
    </row>
    <row r="353" ht="15">
      <c r="F353" s="30"/>
    </row>
    <row r="354" ht="15">
      <c r="F354" s="30"/>
    </row>
    <row r="355" ht="15">
      <c r="F355" s="30"/>
    </row>
    <row r="356" ht="15">
      <c r="F356" s="30"/>
    </row>
    <row r="357" ht="15">
      <c r="F357" s="30"/>
    </row>
    <row r="358" ht="15">
      <c r="F358" s="30"/>
    </row>
    <row r="359" ht="15">
      <c r="F359" s="30"/>
    </row>
    <row r="360" ht="15">
      <c r="F360" s="30"/>
    </row>
    <row r="361" ht="15">
      <c r="F361" s="30"/>
    </row>
    <row r="362" ht="15">
      <c r="F362" s="30"/>
    </row>
    <row r="363" ht="15">
      <c r="F363" s="30"/>
    </row>
    <row r="364" ht="15">
      <c r="F364" s="30"/>
    </row>
    <row r="365" ht="15">
      <c r="F365" s="30"/>
    </row>
    <row r="366" ht="15">
      <c r="F366" s="30"/>
    </row>
    <row r="367" ht="15">
      <c r="F367" s="30"/>
    </row>
    <row r="368" ht="15">
      <c r="F368" s="30"/>
    </row>
    <row r="369" ht="15">
      <c r="F369" s="30"/>
    </row>
    <row r="370" ht="15">
      <c r="F370" s="30"/>
    </row>
    <row r="371" ht="15">
      <c r="F371" s="30"/>
    </row>
    <row r="372" ht="15">
      <c r="F372" s="30"/>
    </row>
    <row r="373" ht="15">
      <c r="F373" s="30"/>
    </row>
    <row r="374" ht="15">
      <c r="F374" s="30"/>
    </row>
    <row r="375" ht="15">
      <c r="F375" s="30"/>
    </row>
    <row r="376" ht="15">
      <c r="F376" s="30"/>
    </row>
    <row r="377" ht="15">
      <c r="F377" s="30"/>
    </row>
    <row r="378" ht="15">
      <c r="F378" s="30"/>
    </row>
    <row r="379" ht="15">
      <c r="F379" s="30"/>
    </row>
    <row r="380" ht="15">
      <c r="F380" s="30"/>
    </row>
    <row r="381" ht="15">
      <c r="F381" s="30"/>
    </row>
    <row r="382" ht="15">
      <c r="F382" s="30"/>
    </row>
    <row r="383" ht="15">
      <c r="F383" s="30"/>
    </row>
    <row r="384" ht="15">
      <c r="F384" s="30"/>
    </row>
    <row r="385" ht="15">
      <c r="F385" s="30"/>
    </row>
    <row r="386" ht="15">
      <c r="F386" s="30"/>
    </row>
    <row r="387" ht="15">
      <c r="F387" s="30"/>
    </row>
    <row r="388" ht="15">
      <c r="F388" s="30"/>
    </row>
    <row r="389" ht="15">
      <c r="F389" s="30"/>
    </row>
    <row r="390" ht="15">
      <c r="F390" s="30"/>
    </row>
    <row r="391" ht="15">
      <c r="F391" s="30"/>
    </row>
    <row r="392" ht="15">
      <c r="F392" s="30"/>
    </row>
    <row r="393" ht="15">
      <c r="F393" s="30"/>
    </row>
  </sheetData>
  <sheetProtection/>
  <mergeCells count="3">
    <mergeCell ref="A1:F1"/>
    <mergeCell ref="A2:B2"/>
    <mergeCell ref="D2:F2"/>
  </mergeCells>
  <printOptions/>
  <pageMargins left="0.6299212598425197" right="0.2362204724409449" top="0.7480314960629921" bottom="0.7480314960629921" header="0.31496062992125984" footer="0.3149606299212598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2"/>
  <sheetViews>
    <sheetView zoomScalePageLayoutView="0" workbookViewId="0" topLeftCell="A19">
      <pane xSplit="3045" topLeftCell="L1" activePane="topRight" state="split"/>
      <selection pane="topLeft" activeCell="P3" sqref="P3"/>
      <selection pane="topRight" activeCell="P30" sqref="P30:T30"/>
    </sheetView>
  </sheetViews>
  <sheetFormatPr defaultColWidth="9.140625" defaultRowHeight="15"/>
  <cols>
    <col min="1" max="1" width="26.00390625" style="0" customWidth="1"/>
  </cols>
  <sheetData>
    <row r="1" spans="1:31" ht="15">
      <c r="A1" s="88" t="s">
        <v>163</v>
      </c>
      <c r="B1" s="235" t="s">
        <v>20</v>
      </c>
      <c r="C1" s="236"/>
      <c r="D1" s="237"/>
      <c r="E1" s="238" t="s">
        <v>21</v>
      </c>
      <c r="F1" s="239"/>
      <c r="G1" s="240"/>
      <c r="H1" s="233" t="s">
        <v>22</v>
      </c>
      <c r="I1" s="234"/>
      <c r="J1" s="234"/>
      <c r="K1" s="241"/>
      <c r="L1" s="242" t="s">
        <v>23</v>
      </c>
      <c r="M1" s="243"/>
      <c r="N1" s="243"/>
      <c r="O1" s="244"/>
      <c r="P1" s="248" t="s">
        <v>30</v>
      </c>
      <c r="Q1" s="249"/>
      <c r="R1" s="249"/>
      <c r="S1" s="249"/>
      <c r="T1" s="250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15">
      <c r="A2" s="89" t="s">
        <v>164</v>
      </c>
      <c r="B2" s="93">
        <f>158.85</f>
        <v>158.85</v>
      </c>
      <c r="C2" s="93">
        <f>100</f>
        <v>100</v>
      </c>
      <c r="D2" s="93">
        <f>81+253.09</f>
        <v>334.09000000000003</v>
      </c>
      <c r="E2" s="94">
        <v>295</v>
      </c>
      <c r="F2" s="94">
        <v>113.3</v>
      </c>
      <c r="G2" s="94">
        <v>87</v>
      </c>
      <c r="H2" s="86">
        <f>100+200</f>
        <v>300</v>
      </c>
      <c r="I2" s="86"/>
      <c r="J2" s="86"/>
      <c r="K2" s="86"/>
      <c r="L2" s="76">
        <v>63</v>
      </c>
      <c r="M2" s="76">
        <v>102.5</v>
      </c>
      <c r="N2" s="76">
        <f>275.4+145+70</f>
        <v>490.4</v>
      </c>
      <c r="O2" s="76">
        <v>52</v>
      </c>
      <c r="P2" s="79">
        <f>650+735</f>
        <v>1385</v>
      </c>
      <c r="Q2" s="79">
        <f>237.3+20.9</f>
        <v>258.2</v>
      </c>
      <c r="R2" s="79"/>
      <c r="S2" s="79"/>
      <c r="T2" s="79"/>
      <c r="U2" s="75">
        <f>SUM(B2:T2)</f>
        <v>3739.3399999999997</v>
      </c>
      <c r="V2" s="75"/>
      <c r="W2" s="75"/>
      <c r="X2" s="75"/>
      <c r="Y2" s="75"/>
      <c r="Z2" s="75"/>
      <c r="AA2" s="75"/>
      <c r="AB2" s="75"/>
      <c r="AC2" s="75"/>
      <c r="AD2" s="75"/>
      <c r="AE2" s="75"/>
    </row>
    <row r="3" spans="1:31" ht="15">
      <c r="A3" s="89"/>
      <c r="B3" s="93" t="s">
        <v>223</v>
      </c>
      <c r="C3" s="93" t="s">
        <v>224</v>
      </c>
      <c r="D3" s="93" t="s">
        <v>225</v>
      </c>
      <c r="E3" s="94" t="s">
        <v>228</v>
      </c>
      <c r="F3" s="94" t="s">
        <v>231</v>
      </c>
      <c r="G3" s="94" t="s">
        <v>144</v>
      </c>
      <c r="H3" s="86" t="s">
        <v>224</v>
      </c>
      <c r="I3" s="86"/>
      <c r="J3" s="86"/>
      <c r="K3" s="86"/>
      <c r="L3" s="76" t="s">
        <v>244</v>
      </c>
      <c r="M3" s="76"/>
      <c r="N3" s="76" t="s">
        <v>250</v>
      </c>
      <c r="O3" s="76" t="s">
        <v>251</v>
      </c>
      <c r="P3" s="79" t="s">
        <v>253</v>
      </c>
      <c r="Q3" s="79" t="s">
        <v>254</v>
      </c>
      <c r="R3" s="79"/>
      <c r="S3" s="79"/>
      <c r="T3" s="79"/>
      <c r="U3" s="75">
        <f aca="true" t="shared" si="0" ref="U3:U29">SUM(B3:T3)</f>
        <v>0</v>
      </c>
      <c r="V3" s="75"/>
      <c r="W3" s="75"/>
      <c r="X3" s="75"/>
      <c r="Y3" s="75"/>
      <c r="Z3" s="75"/>
      <c r="AA3" s="75"/>
      <c r="AB3" s="75"/>
      <c r="AC3" s="75"/>
      <c r="AD3" s="75"/>
      <c r="AE3" s="75"/>
    </row>
    <row r="4" spans="1:31" ht="15">
      <c r="A4" s="89" t="s">
        <v>165</v>
      </c>
      <c r="B4" s="93">
        <v>100</v>
      </c>
      <c r="C4" s="93"/>
      <c r="D4" s="93"/>
      <c r="E4" s="94">
        <v>100</v>
      </c>
      <c r="F4" s="94"/>
      <c r="G4" s="94"/>
      <c r="H4" s="86">
        <f>200+50</f>
        <v>250</v>
      </c>
      <c r="I4" s="86">
        <v>100</v>
      </c>
      <c r="J4" s="86"/>
      <c r="K4" s="86"/>
      <c r="L4" s="76"/>
      <c r="M4" s="76"/>
      <c r="N4" s="76"/>
      <c r="O4" s="76"/>
      <c r="P4" s="79">
        <v>100</v>
      </c>
      <c r="Q4" s="79">
        <v>100</v>
      </c>
      <c r="R4" s="79"/>
      <c r="S4" s="79"/>
      <c r="T4" s="79"/>
      <c r="U4" s="75">
        <f t="shared" si="0"/>
        <v>750</v>
      </c>
      <c r="V4" s="75"/>
      <c r="W4" s="75"/>
      <c r="X4" s="75"/>
      <c r="Y4" s="75"/>
      <c r="Z4" s="75"/>
      <c r="AA4" s="75"/>
      <c r="AB4" s="75"/>
      <c r="AC4" s="75"/>
      <c r="AD4" s="75"/>
      <c r="AE4" s="75"/>
    </row>
    <row r="5" spans="1:31" ht="15">
      <c r="A5" s="89" t="s">
        <v>166</v>
      </c>
      <c r="B5" s="93">
        <v>91.3</v>
      </c>
      <c r="C5" s="93">
        <v>372</v>
      </c>
      <c r="D5" s="93">
        <v>210</v>
      </c>
      <c r="E5" s="94">
        <v>17.4</v>
      </c>
      <c r="F5" s="94"/>
      <c r="G5" s="94"/>
      <c r="H5" s="86">
        <v>182.2</v>
      </c>
      <c r="I5" s="86">
        <v>150</v>
      </c>
      <c r="J5" s="86">
        <v>32</v>
      </c>
      <c r="K5" s="86">
        <v>1030</v>
      </c>
      <c r="L5" s="76">
        <v>57</v>
      </c>
      <c r="M5" s="76"/>
      <c r="N5" s="76"/>
      <c r="O5" s="76"/>
      <c r="P5" s="79">
        <v>138.5</v>
      </c>
      <c r="Q5" s="79">
        <v>14.8</v>
      </c>
      <c r="R5" s="79"/>
      <c r="S5" s="79"/>
      <c r="T5" s="79"/>
      <c r="U5" s="75">
        <f t="shared" si="0"/>
        <v>2295.2</v>
      </c>
      <c r="V5" s="75"/>
      <c r="W5" s="75"/>
      <c r="X5" s="75"/>
      <c r="Y5" s="75"/>
      <c r="Z5" s="75"/>
      <c r="AA5" s="75"/>
      <c r="AB5" s="75"/>
      <c r="AC5" s="75"/>
      <c r="AD5" s="75"/>
      <c r="AE5" s="75"/>
    </row>
    <row r="6" spans="1:31" ht="15">
      <c r="A6" s="89"/>
      <c r="B6" s="93" t="s">
        <v>226</v>
      </c>
      <c r="C6" s="93" t="s">
        <v>61</v>
      </c>
      <c r="D6" s="93" t="s">
        <v>222</v>
      </c>
      <c r="E6" s="94" t="s">
        <v>227</v>
      </c>
      <c r="F6" s="94"/>
      <c r="G6" s="94"/>
      <c r="H6" s="86" t="s">
        <v>238</v>
      </c>
      <c r="I6" s="86" t="s">
        <v>234</v>
      </c>
      <c r="J6" s="86" t="s">
        <v>240</v>
      </c>
      <c r="K6" s="86" t="s">
        <v>241</v>
      </c>
      <c r="L6" s="76" t="s">
        <v>242</v>
      </c>
      <c r="M6" s="76"/>
      <c r="N6" s="76"/>
      <c r="O6" s="76"/>
      <c r="P6" s="79" t="s">
        <v>61</v>
      </c>
      <c r="Q6" s="79" t="s">
        <v>283</v>
      </c>
      <c r="R6" s="79"/>
      <c r="S6" s="79"/>
      <c r="T6" s="79"/>
      <c r="U6" s="75">
        <f t="shared" si="0"/>
        <v>0</v>
      </c>
      <c r="V6" s="75"/>
      <c r="W6" s="75"/>
      <c r="X6" s="75"/>
      <c r="Y6" s="75"/>
      <c r="Z6" s="75"/>
      <c r="AA6" s="75"/>
      <c r="AB6" s="75"/>
      <c r="AC6" s="75"/>
      <c r="AD6" s="75"/>
      <c r="AE6" s="75"/>
    </row>
    <row r="7" spans="1:31" ht="15">
      <c r="A7" s="89" t="s">
        <v>221</v>
      </c>
      <c r="B7" s="93"/>
      <c r="C7" s="93"/>
      <c r="D7" s="93"/>
      <c r="E7" s="94"/>
      <c r="F7" s="94"/>
      <c r="G7" s="94"/>
      <c r="H7" s="86"/>
      <c r="I7" s="86"/>
      <c r="J7" s="86"/>
      <c r="K7" s="86"/>
      <c r="L7" s="76"/>
      <c r="M7" s="76"/>
      <c r="N7" s="76"/>
      <c r="O7" s="76"/>
      <c r="P7" s="79"/>
      <c r="Q7" s="79"/>
      <c r="R7" s="79"/>
      <c r="S7" s="79"/>
      <c r="T7" s="79"/>
      <c r="U7" s="75">
        <f t="shared" si="0"/>
        <v>0</v>
      </c>
      <c r="V7" s="75"/>
      <c r="W7" s="75"/>
      <c r="X7" s="75"/>
      <c r="Y7" s="75"/>
      <c r="Z7" s="75"/>
      <c r="AA7" s="75"/>
      <c r="AB7" s="75"/>
      <c r="AC7" s="75"/>
      <c r="AD7" s="75"/>
      <c r="AE7" s="75"/>
    </row>
    <row r="8" spans="1:31" ht="15">
      <c r="A8" s="89"/>
      <c r="B8" s="93"/>
      <c r="C8" s="93"/>
      <c r="D8" s="93"/>
      <c r="E8" s="94"/>
      <c r="F8" s="94"/>
      <c r="G8" s="94"/>
      <c r="H8" s="86"/>
      <c r="I8" s="86"/>
      <c r="J8" s="86"/>
      <c r="K8" s="86"/>
      <c r="L8" s="76"/>
      <c r="M8" s="76"/>
      <c r="N8" s="76"/>
      <c r="O8" s="76"/>
      <c r="P8" s="79"/>
      <c r="Q8" s="79"/>
      <c r="R8" s="79"/>
      <c r="S8" s="79"/>
      <c r="T8" s="79"/>
      <c r="U8" s="75">
        <f t="shared" si="0"/>
        <v>0</v>
      </c>
      <c r="V8" s="75"/>
      <c r="W8" s="75"/>
      <c r="X8" s="75"/>
      <c r="Y8" s="75"/>
      <c r="Z8" s="75"/>
      <c r="AA8" s="75"/>
      <c r="AB8" s="75"/>
      <c r="AC8" s="75"/>
      <c r="AD8" s="75"/>
      <c r="AE8" s="75"/>
    </row>
    <row r="9" spans="1:31" ht="15">
      <c r="A9" s="89" t="s">
        <v>167</v>
      </c>
      <c r="B9" s="93">
        <f>186.4+61.65</f>
        <v>248.05</v>
      </c>
      <c r="C9" s="93"/>
      <c r="D9" s="93"/>
      <c r="E9" s="94"/>
      <c r="F9" s="94"/>
      <c r="G9" s="94"/>
      <c r="H9" s="86"/>
      <c r="I9" s="86"/>
      <c r="J9" s="86"/>
      <c r="K9" s="86"/>
      <c r="L9" s="76"/>
      <c r="M9" s="76"/>
      <c r="N9" s="76"/>
      <c r="O9" s="76"/>
      <c r="P9" s="79">
        <f>108+12.5</f>
        <v>120.5</v>
      </c>
      <c r="Q9" s="79">
        <v>967</v>
      </c>
      <c r="R9" s="79"/>
      <c r="S9" s="79"/>
      <c r="T9" s="79"/>
      <c r="U9" s="75">
        <f t="shared" si="0"/>
        <v>1335.55</v>
      </c>
      <c r="V9" s="75"/>
      <c r="W9" s="75"/>
      <c r="X9" s="75"/>
      <c r="Y9" s="75"/>
      <c r="Z9" s="75"/>
      <c r="AA9" s="75"/>
      <c r="AB9" s="75"/>
      <c r="AC9" s="75"/>
      <c r="AD9" s="75"/>
      <c r="AE9" s="75"/>
    </row>
    <row r="10" spans="1:31" ht="105" customHeight="1">
      <c r="A10" s="90" t="s">
        <v>101</v>
      </c>
      <c r="B10" s="75"/>
      <c r="C10" s="75"/>
      <c r="D10" s="75"/>
      <c r="E10" s="75"/>
      <c r="F10" s="75"/>
      <c r="G10" s="75"/>
      <c r="H10" s="75">
        <v>804</v>
      </c>
      <c r="I10" s="75"/>
      <c r="J10" s="75"/>
      <c r="K10" s="75"/>
      <c r="L10" s="75"/>
      <c r="M10" s="75"/>
      <c r="N10" s="75"/>
      <c r="O10" s="75"/>
      <c r="P10" s="75">
        <v>394</v>
      </c>
      <c r="Q10" s="75"/>
      <c r="R10" s="75"/>
      <c r="S10" s="75"/>
      <c r="T10" s="75"/>
      <c r="U10" s="75">
        <f t="shared" si="0"/>
        <v>1198</v>
      </c>
      <c r="V10" s="75"/>
      <c r="W10" s="75"/>
      <c r="X10" s="75"/>
      <c r="Y10" s="75"/>
      <c r="Z10" s="75"/>
      <c r="AA10" s="75"/>
      <c r="AB10" s="75"/>
      <c r="AC10" s="75"/>
      <c r="AD10" s="75"/>
      <c r="AE10" s="75"/>
    </row>
    <row r="11" spans="1:31" ht="15">
      <c r="A11" s="90"/>
      <c r="B11" s="75"/>
      <c r="C11" s="75"/>
      <c r="D11" s="75"/>
      <c r="E11" s="75"/>
      <c r="F11" s="75"/>
      <c r="G11" s="75"/>
      <c r="H11" s="75" t="s">
        <v>239</v>
      </c>
      <c r="I11" s="75"/>
      <c r="J11" s="75"/>
      <c r="K11" s="75"/>
      <c r="L11" s="75"/>
      <c r="M11" s="75"/>
      <c r="N11" s="75"/>
      <c r="O11" s="75"/>
      <c r="P11" s="75" t="s">
        <v>282</v>
      </c>
      <c r="Q11" s="75"/>
      <c r="R11" s="75"/>
      <c r="S11" s="75"/>
      <c r="T11" s="75"/>
      <c r="U11" s="75">
        <f t="shared" si="0"/>
        <v>0</v>
      </c>
      <c r="V11" s="75"/>
      <c r="W11" s="75"/>
      <c r="X11" s="75"/>
      <c r="Y11" s="75"/>
      <c r="Z11" s="75"/>
      <c r="AA11" s="75"/>
      <c r="AB11" s="75"/>
      <c r="AC11" s="75"/>
      <c r="AD11" s="75"/>
      <c r="AE11" s="75"/>
    </row>
    <row r="12" spans="1:31" ht="63" customHeight="1">
      <c r="A12" s="90" t="s">
        <v>102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>
        <f t="shared" si="0"/>
        <v>0</v>
      </c>
      <c r="V12" s="75"/>
      <c r="W12" s="75"/>
      <c r="X12" s="75"/>
      <c r="Y12" s="75"/>
      <c r="Z12" s="75"/>
      <c r="AA12" s="75"/>
      <c r="AB12" s="75"/>
      <c r="AC12" s="75"/>
      <c r="AD12" s="75"/>
      <c r="AE12" s="75"/>
    </row>
    <row r="13" spans="1:31" ht="30" customHeight="1">
      <c r="A13" s="90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>
        <f t="shared" si="0"/>
        <v>0</v>
      </c>
      <c r="V13" s="75"/>
      <c r="W13" s="75"/>
      <c r="X13" s="75"/>
      <c r="Y13" s="75"/>
      <c r="Z13" s="75"/>
      <c r="AA13" s="75"/>
      <c r="AB13" s="75"/>
      <c r="AC13" s="75"/>
      <c r="AD13" s="75"/>
      <c r="AE13" s="75"/>
    </row>
    <row r="14" spans="1:31" ht="87.75" customHeight="1">
      <c r="A14" s="91" t="s">
        <v>103</v>
      </c>
      <c r="B14" s="75"/>
      <c r="C14" s="75"/>
      <c r="D14" s="75"/>
      <c r="E14" s="75">
        <f>271+336+31+19</f>
        <v>657</v>
      </c>
      <c r="F14" s="75"/>
      <c r="G14" s="75"/>
      <c r="H14" s="75">
        <v>104</v>
      </c>
      <c r="I14" s="75">
        <v>831.4</v>
      </c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>
        <f t="shared" si="0"/>
        <v>1592.4</v>
      </c>
      <c r="V14" s="75"/>
      <c r="W14" s="75"/>
      <c r="X14" s="75"/>
      <c r="Y14" s="75"/>
      <c r="Z14" s="75"/>
      <c r="AA14" s="75"/>
      <c r="AB14" s="75"/>
      <c r="AC14" s="75"/>
      <c r="AD14" s="75"/>
      <c r="AE14" s="75"/>
    </row>
    <row r="15" spans="1:31" ht="15">
      <c r="A15" s="91"/>
      <c r="B15" s="75"/>
      <c r="C15" s="75"/>
      <c r="D15" s="75"/>
      <c r="E15" s="75" t="s">
        <v>232</v>
      </c>
      <c r="F15" s="75"/>
      <c r="G15" s="75"/>
      <c r="H15" s="75" t="s">
        <v>236</v>
      </c>
      <c r="I15" s="75" t="s">
        <v>237</v>
      </c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>
        <f t="shared" si="0"/>
        <v>0</v>
      </c>
      <c r="V15" s="75"/>
      <c r="W15" s="75"/>
      <c r="X15" s="75"/>
      <c r="Y15" s="75"/>
      <c r="Z15" s="75"/>
      <c r="AA15" s="75"/>
      <c r="AB15" s="75"/>
      <c r="AC15" s="75"/>
      <c r="AD15" s="75"/>
      <c r="AE15" s="75"/>
    </row>
    <row r="16" spans="1:31" ht="78" customHeight="1">
      <c r="A16" s="91" t="s">
        <v>78</v>
      </c>
      <c r="B16" s="75"/>
      <c r="C16" s="75"/>
      <c r="D16" s="75"/>
      <c r="E16" s="75">
        <v>724.8</v>
      </c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>
        <f t="shared" si="0"/>
        <v>724.8</v>
      </c>
      <c r="V16" s="75"/>
      <c r="W16" s="75"/>
      <c r="X16" s="75"/>
      <c r="Y16" s="75"/>
      <c r="Z16" s="75"/>
      <c r="AA16" s="75"/>
      <c r="AB16" s="75"/>
      <c r="AC16" s="75"/>
      <c r="AD16" s="75"/>
      <c r="AE16" s="75"/>
    </row>
    <row r="17" spans="1:31" ht="15">
      <c r="A17" s="91"/>
      <c r="B17" s="75"/>
      <c r="C17" s="75"/>
      <c r="D17" s="75"/>
      <c r="E17" s="75" t="s">
        <v>171</v>
      </c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>
        <f t="shared" si="0"/>
        <v>0</v>
      </c>
      <c r="V17" s="75"/>
      <c r="W17" s="75"/>
      <c r="X17" s="75"/>
      <c r="Y17" s="75"/>
      <c r="Z17" s="75"/>
      <c r="AA17" s="75"/>
      <c r="AB17" s="75"/>
      <c r="AC17" s="75"/>
      <c r="AD17" s="75"/>
      <c r="AE17" s="75"/>
    </row>
    <row r="18" spans="1:31" ht="37.5" customHeight="1">
      <c r="A18" s="91" t="s">
        <v>79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>
        <f>153+434</f>
        <v>587</v>
      </c>
      <c r="M18" s="75">
        <v>828.6</v>
      </c>
      <c r="N18" s="75"/>
      <c r="O18" s="75"/>
      <c r="P18" s="75"/>
      <c r="Q18" s="75"/>
      <c r="R18" s="75"/>
      <c r="S18" s="75"/>
      <c r="T18" s="75"/>
      <c r="U18" s="75">
        <f t="shared" si="0"/>
        <v>1415.6</v>
      </c>
      <c r="V18" s="75"/>
      <c r="W18" s="75"/>
      <c r="X18" s="75"/>
      <c r="Y18" s="75"/>
      <c r="Z18" s="75"/>
      <c r="AA18" s="75"/>
      <c r="AB18" s="75"/>
      <c r="AC18" s="75"/>
      <c r="AD18" s="75"/>
      <c r="AE18" s="75"/>
    </row>
    <row r="19" spans="1:31" ht="15">
      <c r="A19" s="89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 t="s">
        <v>243</v>
      </c>
      <c r="M19" s="75" t="s">
        <v>249</v>
      </c>
      <c r="N19" s="75"/>
      <c r="O19" s="75"/>
      <c r="P19" s="75"/>
      <c r="Q19" s="75"/>
      <c r="R19" s="75"/>
      <c r="S19" s="75"/>
      <c r="T19" s="75"/>
      <c r="U19" s="75">
        <f t="shared" si="0"/>
        <v>0</v>
      </c>
      <c r="V19" s="75"/>
      <c r="W19" s="75"/>
      <c r="X19" s="75"/>
      <c r="Y19" s="75"/>
      <c r="Z19" s="75"/>
      <c r="AA19" s="75"/>
      <c r="AB19" s="75"/>
      <c r="AC19" s="75"/>
      <c r="AD19" s="75"/>
      <c r="AE19" s="75"/>
    </row>
    <row r="20" spans="1:31" ht="15">
      <c r="A20" s="89" t="s">
        <v>181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>
        <v>2.99</v>
      </c>
      <c r="M20" s="75">
        <v>386</v>
      </c>
      <c r="N20" s="75">
        <v>72</v>
      </c>
      <c r="O20" s="75">
        <v>271.43</v>
      </c>
      <c r="P20" s="75"/>
      <c r="Q20" s="75"/>
      <c r="R20" s="75"/>
      <c r="S20" s="75"/>
      <c r="T20" s="75"/>
      <c r="U20" s="75">
        <f t="shared" si="0"/>
        <v>732.4200000000001</v>
      </c>
      <c r="V20" s="75"/>
      <c r="W20" s="75"/>
      <c r="X20" s="75"/>
      <c r="Y20" s="75"/>
      <c r="Z20" s="75"/>
      <c r="AA20" s="75"/>
      <c r="AB20" s="75"/>
      <c r="AC20" s="75"/>
      <c r="AD20" s="75"/>
      <c r="AE20" s="75"/>
    </row>
    <row r="21" spans="1:31" ht="15">
      <c r="A21" s="89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 t="s">
        <v>247</v>
      </c>
      <c r="M21" s="75" t="s">
        <v>248</v>
      </c>
      <c r="N21" s="75" t="s">
        <v>245</v>
      </c>
      <c r="O21" s="75" t="s">
        <v>252</v>
      </c>
      <c r="P21" s="75"/>
      <c r="Q21" s="75"/>
      <c r="R21" s="75"/>
      <c r="S21" s="75"/>
      <c r="T21" s="75"/>
      <c r="U21" s="75">
        <f t="shared" si="0"/>
        <v>0</v>
      </c>
      <c r="V21" s="75"/>
      <c r="W21" s="75"/>
      <c r="X21" s="75"/>
      <c r="Y21" s="75"/>
      <c r="Z21" s="75"/>
      <c r="AA21" s="75"/>
      <c r="AB21" s="75"/>
      <c r="AC21" s="75"/>
      <c r="AD21" s="75"/>
      <c r="AE21" s="75"/>
    </row>
    <row r="22" spans="1:31" ht="81" customHeight="1">
      <c r="A22" s="92" t="s">
        <v>119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>
        <f t="shared" si="0"/>
        <v>0</v>
      </c>
      <c r="V22" s="75"/>
      <c r="W22" s="75"/>
      <c r="X22" s="75"/>
      <c r="Y22" s="75"/>
      <c r="Z22" s="75"/>
      <c r="AA22" s="75"/>
      <c r="AB22" s="75"/>
      <c r="AC22" s="75"/>
      <c r="AD22" s="75"/>
      <c r="AE22" s="75"/>
    </row>
    <row r="23" spans="1:31" ht="15">
      <c r="A23" s="89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>
        <f t="shared" si="0"/>
        <v>0</v>
      </c>
      <c r="V23" s="75"/>
      <c r="W23" s="75"/>
      <c r="X23" s="75"/>
      <c r="Y23" s="75"/>
      <c r="Z23" s="75"/>
      <c r="AA23" s="75"/>
      <c r="AB23" s="75"/>
      <c r="AC23" s="75"/>
      <c r="AD23" s="75"/>
      <c r="AE23" s="75"/>
    </row>
    <row r="24" spans="1:31" ht="51.75" customHeight="1">
      <c r="A24" s="92" t="s">
        <v>111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>
        <f t="shared" si="0"/>
        <v>0</v>
      </c>
      <c r="V24" s="75"/>
      <c r="W24" s="75"/>
      <c r="X24" s="75"/>
      <c r="Y24" s="75"/>
      <c r="Z24" s="75"/>
      <c r="AA24" s="75"/>
      <c r="AB24" s="75"/>
      <c r="AC24" s="75"/>
      <c r="AD24" s="75"/>
      <c r="AE24" s="75"/>
    </row>
    <row r="25" spans="1:31" ht="15">
      <c r="A25" s="89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>
        <f t="shared" si="0"/>
        <v>0</v>
      </c>
      <c r="V25" s="75"/>
      <c r="W25" s="75"/>
      <c r="X25" s="75"/>
      <c r="Y25" s="75"/>
      <c r="Z25" s="75"/>
      <c r="AA25" s="75"/>
      <c r="AB25" s="75"/>
      <c r="AC25" s="75"/>
      <c r="AD25" s="75"/>
      <c r="AE25" s="75"/>
    </row>
    <row r="26" spans="1:31" ht="15">
      <c r="A26" s="89" t="s">
        <v>205</v>
      </c>
      <c r="B26" s="75">
        <f>385.5+747</f>
        <v>1132.5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>
        <v>328</v>
      </c>
      <c r="S26" s="75"/>
      <c r="T26" s="75"/>
      <c r="U26" s="75">
        <f t="shared" si="0"/>
        <v>1460.5</v>
      </c>
      <c r="V26" s="75"/>
      <c r="W26" s="75"/>
      <c r="X26" s="75"/>
      <c r="Y26" s="75"/>
      <c r="Z26" s="75"/>
      <c r="AA26" s="75"/>
      <c r="AB26" s="75"/>
      <c r="AC26" s="75"/>
      <c r="AD26" s="75"/>
      <c r="AE26" s="75"/>
    </row>
    <row r="27" spans="1:31" ht="15">
      <c r="A27" s="80" t="s">
        <v>229</v>
      </c>
      <c r="B27" s="75"/>
      <c r="C27" s="75"/>
      <c r="D27" s="75"/>
      <c r="E27" s="75">
        <f>730+7250</f>
        <v>7980</v>
      </c>
      <c r="F27" s="75">
        <v>3000</v>
      </c>
      <c r="G27" s="75"/>
      <c r="H27" s="75">
        <v>750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>
        <f t="shared" si="0"/>
        <v>11730</v>
      </c>
      <c r="V27" s="75"/>
      <c r="W27" s="75"/>
      <c r="X27" s="75"/>
      <c r="Y27" s="75"/>
      <c r="Z27" s="75"/>
      <c r="AA27" s="75"/>
      <c r="AB27" s="75"/>
      <c r="AC27" s="75"/>
      <c r="AD27" s="75"/>
      <c r="AE27" s="75"/>
    </row>
    <row r="28" spans="1:31" ht="15">
      <c r="A28" s="75"/>
      <c r="B28" s="75"/>
      <c r="C28" s="75"/>
      <c r="D28" s="75"/>
      <c r="E28" s="75" t="s">
        <v>230</v>
      </c>
      <c r="F28" s="75" t="s">
        <v>233</v>
      </c>
      <c r="G28" s="75"/>
      <c r="H28" s="75" t="s">
        <v>235</v>
      </c>
      <c r="I28" s="75"/>
      <c r="J28" s="75"/>
      <c r="K28" s="75"/>
      <c r="L28" s="75">
        <v>48</v>
      </c>
      <c r="M28" s="75"/>
      <c r="N28" s="75"/>
      <c r="O28" s="75"/>
      <c r="P28" s="75"/>
      <c r="Q28" s="75"/>
      <c r="R28" s="75"/>
      <c r="S28" s="75"/>
      <c r="T28" s="75"/>
      <c r="U28" s="75">
        <f t="shared" si="0"/>
        <v>48</v>
      </c>
      <c r="V28" s="75"/>
      <c r="W28" s="75"/>
      <c r="X28" s="75"/>
      <c r="Y28" s="75"/>
      <c r="Z28" s="75"/>
      <c r="AA28" s="75"/>
      <c r="AB28" s="75"/>
      <c r="AC28" s="75"/>
      <c r="AD28" s="75"/>
      <c r="AE28" s="75"/>
    </row>
    <row r="29" spans="1:31" ht="45">
      <c r="A29" s="14" t="s">
        <v>111</v>
      </c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 t="s">
        <v>246</v>
      </c>
      <c r="M29" s="75"/>
      <c r="N29" s="75"/>
      <c r="O29" s="75"/>
      <c r="P29" s="245" t="s">
        <v>30</v>
      </c>
      <c r="Q29" s="246"/>
      <c r="R29" s="246"/>
      <c r="S29" s="246"/>
      <c r="T29" s="247"/>
      <c r="U29" s="75">
        <f t="shared" si="0"/>
        <v>0</v>
      </c>
      <c r="V29" s="75"/>
      <c r="W29" s="75"/>
      <c r="X29" s="75"/>
      <c r="Y29" s="75"/>
      <c r="Z29" s="75"/>
      <c r="AA29" s="75"/>
      <c r="AB29" s="75"/>
      <c r="AC29" s="75"/>
      <c r="AD29" s="75"/>
      <c r="AE29" s="75"/>
    </row>
    <row r="30" spans="2:21" ht="15">
      <c r="B30" s="95">
        <f aca="true" t="shared" si="1" ref="B30:T30">SUM(B2:B29)</f>
        <v>1730.7</v>
      </c>
      <c r="C30" s="95">
        <f t="shared" si="1"/>
        <v>472</v>
      </c>
      <c r="D30" s="95">
        <f t="shared" si="1"/>
        <v>544.09</v>
      </c>
      <c r="E30" s="95">
        <f t="shared" si="1"/>
        <v>9774.2</v>
      </c>
      <c r="F30" s="95">
        <f t="shared" si="1"/>
        <v>3113.3</v>
      </c>
      <c r="G30" s="95">
        <f t="shared" si="1"/>
        <v>87</v>
      </c>
      <c r="H30" s="95">
        <f t="shared" si="1"/>
        <v>2390.2</v>
      </c>
      <c r="I30" s="95">
        <f t="shared" si="1"/>
        <v>1081.4</v>
      </c>
      <c r="J30" s="95">
        <f t="shared" si="1"/>
        <v>32</v>
      </c>
      <c r="K30" s="95">
        <f t="shared" si="1"/>
        <v>1030</v>
      </c>
      <c r="L30" s="95">
        <f t="shared" si="1"/>
        <v>757.99</v>
      </c>
      <c r="M30" s="95">
        <f t="shared" si="1"/>
        <v>1317.1</v>
      </c>
      <c r="N30" s="95">
        <f t="shared" si="1"/>
        <v>562.4</v>
      </c>
      <c r="O30" s="95">
        <f t="shared" si="1"/>
        <v>323.43</v>
      </c>
      <c r="P30" s="95">
        <f t="shared" si="1"/>
        <v>2138</v>
      </c>
      <c r="Q30" s="95">
        <f t="shared" si="1"/>
        <v>1340</v>
      </c>
      <c r="R30" s="95">
        <f t="shared" si="1"/>
        <v>328</v>
      </c>
      <c r="S30" s="95">
        <f t="shared" si="1"/>
        <v>0</v>
      </c>
      <c r="T30" s="95">
        <f t="shared" si="1"/>
        <v>0</v>
      </c>
      <c r="U30" s="95">
        <f>SUM(U2:U29)</f>
        <v>27021.809999999998</v>
      </c>
    </row>
    <row r="32" spans="2:21" ht="15">
      <c r="B32">
        <v>1730.7</v>
      </c>
      <c r="C32">
        <v>472</v>
      </c>
      <c r="D32">
        <v>544.09</v>
      </c>
      <c r="E32">
        <v>9774.2</v>
      </c>
      <c r="F32">
        <v>3113.3</v>
      </c>
      <c r="G32">
        <v>87</v>
      </c>
      <c r="H32">
        <v>2390.2</v>
      </c>
      <c r="I32">
        <v>1081.4</v>
      </c>
      <c r="J32">
        <v>32</v>
      </c>
      <c r="K32">
        <v>1030</v>
      </c>
      <c r="L32">
        <v>757.99</v>
      </c>
      <c r="M32">
        <v>1317.1</v>
      </c>
      <c r="N32">
        <v>562.4</v>
      </c>
      <c r="O32">
        <v>323.43</v>
      </c>
      <c r="P32">
        <v>1605.5</v>
      </c>
      <c r="Q32">
        <v>258.2</v>
      </c>
      <c r="R32">
        <v>0</v>
      </c>
      <c r="S32">
        <v>0</v>
      </c>
      <c r="T32">
        <v>0</v>
      </c>
      <c r="U32">
        <v>25079.51</v>
      </c>
    </row>
  </sheetData>
  <sheetProtection/>
  <mergeCells count="6">
    <mergeCell ref="B1:D1"/>
    <mergeCell ref="E1:G1"/>
    <mergeCell ref="H1:K1"/>
    <mergeCell ref="L1:O1"/>
    <mergeCell ref="P29:T29"/>
    <mergeCell ref="P1:T1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</dc:creator>
  <cp:keywords/>
  <dc:description/>
  <cp:lastModifiedBy>л</cp:lastModifiedBy>
  <cp:lastPrinted>2016-03-28T12:46:49Z</cp:lastPrinted>
  <dcterms:created xsi:type="dcterms:W3CDTF">2013-07-31T08:55:04Z</dcterms:created>
  <dcterms:modified xsi:type="dcterms:W3CDTF">2016-03-28T13:40:22Z</dcterms:modified>
  <cp:category/>
  <cp:version/>
  <cp:contentType/>
  <cp:contentStatus/>
</cp:coreProperties>
</file>